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upload\0710\"/>
    </mc:Choice>
  </mc:AlternateContent>
  <xr:revisionPtr revIDLastSave="0" documentId="8_{88BEB424-4258-4D48-A4A2-E1EF0356F998}" xr6:coauthVersionLast="45" xr6:coauthVersionMax="45" xr10:uidLastSave="{00000000-0000-0000-0000-000000000000}"/>
  <bookViews>
    <workbookView xWindow="-120" yWindow="-120" windowWidth="20730" windowHeight="11160" activeTab="4"/>
    <workbookView xWindow="-120" yWindow="-120" windowWidth="20730" windowHeight="11160"/>
  </bookViews>
  <sheets>
    <sheet name="L1" sheetId="19" r:id="rId1"/>
    <sheet name="L2" sheetId="11" r:id="rId2"/>
    <sheet name="L3" sheetId="25" r:id="rId3"/>
    <sheet name="L4" sheetId="5" r:id="rId4"/>
    <sheet name="L5" sheetId="7" r:id="rId5"/>
    <sheet name="L6" sheetId="8" r:id="rId6"/>
    <sheet name="L7" sheetId="6" r:id="rId7"/>
    <sheet name="L10" sheetId="22" r:id="rId8"/>
    <sheet name="L11" sheetId="23" r:id="rId9"/>
    <sheet name="L24" sheetId="21" r:id="rId10"/>
    <sheet name="L25" sheetId="24" r:id="rId11"/>
    <sheet name="L32" sheetId="9" r:id="rId12"/>
    <sheet name="L37FPI" sheetId="1" r:id="rId13"/>
    <sheet name="L37Lives" sheetId="2" r:id="rId14"/>
    <sheet name="L38 FPI" sheetId="4" r:id="rId15"/>
    <sheet name="L38 NOP" sheetId="3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9" l="1"/>
  <c r="O16" i="9"/>
  <c r="Q16" i="9"/>
  <c r="S16" i="9"/>
  <c r="U16" i="9"/>
  <c r="W16" i="9"/>
  <c r="Y16" i="9"/>
  <c r="AA16" i="9"/>
  <c r="AC16" i="9"/>
  <c r="AE16" i="9"/>
  <c r="AI16" i="9"/>
  <c r="AK16" i="9"/>
  <c r="AU7" i="22"/>
  <c r="AW7" i="22"/>
  <c r="BA7" i="22"/>
  <c r="AS6" i="22"/>
  <c r="AS14" i="22"/>
  <c r="AK6" i="22"/>
  <c r="AG6" i="22"/>
  <c r="AG14" i="22"/>
  <c r="AG5" i="22"/>
  <c r="AW5" i="22"/>
  <c r="BA5" i="22"/>
  <c r="AE6" i="22"/>
  <c r="AE14" i="22"/>
  <c r="Q6" i="22"/>
  <c r="Q14" i="22"/>
  <c r="O6" i="22"/>
  <c r="AY15" i="6"/>
  <c r="AY34" i="6"/>
  <c r="AY36" i="6"/>
  <c r="AY38" i="6"/>
  <c r="AU10" i="6"/>
  <c r="AW10" i="6"/>
  <c r="BA10" i="6"/>
  <c r="AS22" i="6"/>
  <c r="AE22" i="6"/>
  <c r="AW22" i="6"/>
  <c r="BA22" i="6"/>
  <c r="AW11" i="8"/>
  <c r="BA11" i="8"/>
  <c r="AY36" i="8"/>
  <c r="AY38" i="8"/>
  <c r="AU31" i="8"/>
  <c r="AK36" i="8"/>
  <c r="AK31" i="8"/>
  <c r="AW31" i="8"/>
  <c r="BA31" i="8"/>
  <c r="AK8" i="8"/>
  <c r="AW8" i="8"/>
  <c r="BA8" i="8"/>
  <c r="AG36" i="8"/>
  <c r="AG26" i="8"/>
  <c r="AD36" i="8"/>
  <c r="AE36" i="8"/>
  <c r="AA36" i="8"/>
  <c r="AA9" i="8"/>
  <c r="AX17" i="19"/>
  <c r="AX8" i="19"/>
  <c r="AY10" i="7"/>
  <c r="A9" i="7"/>
  <c r="AY66" i="25"/>
  <c r="AY59" i="25"/>
  <c r="U22" i="6"/>
  <c r="U36" i="8"/>
  <c r="U38" i="8"/>
  <c r="S12" i="8"/>
  <c r="AW12" i="8"/>
  <c r="BA12" i="8"/>
  <c r="S36" i="8"/>
  <c r="O33" i="8"/>
  <c r="O38" i="8"/>
  <c r="AU66" i="25"/>
  <c r="AU5" i="25"/>
  <c r="AU10" i="25"/>
  <c r="AS66" i="25"/>
  <c r="AS5" i="25"/>
  <c r="AS10" i="25"/>
  <c r="AO66" i="25"/>
  <c r="AK7" i="25"/>
  <c r="AW7" i="25"/>
  <c r="BA7" i="25"/>
  <c r="AK5" i="25"/>
  <c r="AI5" i="25"/>
  <c r="AG5" i="25"/>
  <c r="AE5" i="25"/>
  <c r="AC5" i="25"/>
  <c r="AA5" i="25"/>
  <c r="Y65" i="25"/>
  <c r="AW65" i="25"/>
  <c r="BA65" i="25"/>
  <c r="Y60" i="25"/>
  <c r="AW60" i="25"/>
  <c r="BA60" i="25"/>
  <c r="Y27" i="25"/>
  <c r="AW27" i="25"/>
  <c r="Y10" i="25"/>
  <c r="S66" i="25"/>
  <c r="S34" i="25"/>
  <c r="AW34" i="25"/>
  <c r="BA34" i="25"/>
  <c r="S27" i="25"/>
  <c r="BA27" i="25"/>
  <c r="S15" i="25"/>
  <c r="AW15" i="25"/>
  <c r="BA15" i="25"/>
  <c r="S5" i="25"/>
  <c r="S10" i="25"/>
  <c r="O66" i="25"/>
  <c r="AU13" i="11"/>
  <c r="AU26" i="11"/>
  <c r="AS21" i="11"/>
  <c r="AS13" i="11"/>
  <c r="AK13" i="11"/>
  <c r="AK26" i="11"/>
  <c r="AI13" i="11"/>
  <c r="AI26" i="11"/>
  <c r="AF13" i="11"/>
  <c r="AV13" i="11"/>
  <c r="AZ13" i="11"/>
  <c r="AG13" i="11"/>
  <c r="AG26" i="11"/>
  <c r="AC13" i="11"/>
  <c r="AC26" i="11"/>
  <c r="AA13" i="11"/>
  <c r="AA26" i="11"/>
  <c r="AA11" i="11"/>
  <c r="AA12" i="11"/>
  <c r="Y13" i="11"/>
  <c r="Y26" i="11"/>
  <c r="W13" i="11"/>
  <c r="U13" i="11"/>
  <c r="U26" i="11"/>
  <c r="S13" i="11"/>
  <c r="O18" i="11"/>
  <c r="O26" i="11"/>
  <c r="U18" i="7"/>
  <c r="U29" i="7"/>
  <c r="AV38" i="19"/>
  <c r="AV19" i="19"/>
  <c r="AV8" i="19"/>
  <c r="AT8" i="19"/>
  <c r="AR19" i="19"/>
  <c r="AP8" i="19"/>
  <c r="AL38" i="19"/>
  <c r="AL8" i="19"/>
  <c r="AJ38" i="19"/>
  <c r="AJ19" i="19"/>
  <c r="AH8" i="19"/>
  <c r="AF22" i="19"/>
  <c r="AF19" i="19"/>
  <c r="AF10" i="19"/>
  <c r="AF8" i="19"/>
  <c r="AD8" i="19"/>
  <c r="AB8" i="19"/>
  <c r="Z19" i="19"/>
  <c r="Z8" i="19"/>
  <c r="X57" i="19"/>
  <c r="X36" i="19"/>
  <c r="X8" i="19"/>
  <c r="V57" i="19"/>
  <c r="V38" i="19"/>
  <c r="V8" i="19"/>
  <c r="T8" i="19"/>
  <c r="R8" i="19"/>
  <c r="P17" i="19"/>
  <c r="P8" i="19"/>
  <c r="M6" i="22"/>
  <c r="M14" i="22"/>
  <c r="AW24" i="25"/>
  <c r="BA24" i="25"/>
  <c r="M18" i="25"/>
  <c r="M19" i="25"/>
  <c r="AW19" i="25"/>
  <c r="BA19" i="25"/>
  <c r="M5" i="25"/>
  <c r="M10" i="25"/>
  <c r="M21" i="11"/>
  <c r="AW21" i="11"/>
  <c r="BA21" i="11"/>
  <c r="K6" i="22"/>
  <c r="K33" i="8"/>
  <c r="L19" i="19"/>
  <c r="I8" i="8"/>
  <c r="I38" i="8"/>
  <c r="G21" i="25"/>
  <c r="AW21" i="25"/>
  <c r="BA21" i="25"/>
  <c r="G19" i="25"/>
  <c r="G18" i="25"/>
  <c r="AW18" i="25"/>
  <c r="BA18" i="25"/>
  <c r="H19" i="19"/>
  <c r="F41" i="19"/>
  <c r="C24" i="8"/>
  <c r="C38" i="8"/>
  <c r="D57" i="19"/>
  <c r="AW13" i="22"/>
  <c r="BA13" i="22"/>
  <c r="EQ6" i="24"/>
  <c r="ER6" i="24"/>
  <c r="ES6" i="24"/>
  <c r="ES7" i="24"/>
  <c r="ET6" i="24"/>
  <c r="EU6" i="24"/>
  <c r="EP6" i="24"/>
  <c r="EP5" i="24"/>
  <c r="EQ5" i="24"/>
  <c r="EQ7" i="24"/>
  <c r="ER5" i="24"/>
  <c r="ER7" i="24"/>
  <c r="ES5" i="24"/>
  <c r="ET5" i="24"/>
  <c r="ET7" i="24"/>
  <c r="EU5" i="24"/>
  <c r="C7" i="24"/>
  <c r="D7" i="24"/>
  <c r="E7" i="24"/>
  <c r="F7" i="24"/>
  <c r="G7" i="24"/>
  <c r="H7" i="24"/>
  <c r="I7" i="24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AG7" i="24"/>
  <c r="AH7" i="24"/>
  <c r="AI7" i="24"/>
  <c r="AJ7" i="24"/>
  <c r="AK7" i="24"/>
  <c r="AL7" i="24"/>
  <c r="AM7" i="24"/>
  <c r="AN7" i="24"/>
  <c r="AO7" i="24"/>
  <c r="AP7" i="24"/>
  <c r="AQ7" i="24"/>
  <c r="AR7" i="24"/>
  <c r="AS7" i="24"/>
  <c r="AT7" i="24"/>
  <c r="AU7" i="24"/>
  <c r="AV7" i="24"/>
  <c r="AW7" i="24"/>
  <c r="AX7" i="24"/>
  <c r="AY7" i="24"/>
  <c r="AZ7" i="24"/>
  <c r="BA7" i="24"/>
  <c r="BB7" i="24"/>
  <c r="BC7" i="24"/>
  <c r="BD7" i="24"/>
  <c r="BE7" i="24"/>
  <c r="BF7" i="24"/>
  <c r="BG7" i="24"/>
  <c r="BH7" i="24"/>
  <c r="BI7" i="24"/>
  <c r="BJ7" i="24"/>
  <c r="BK7" i="24"/>
  <c r="BL7" i="24"/>
  <c r="BM7" i="24"/>
  <c r="BN7" i="24"/>
  <c r="BO7" i="24"/>
  <c r="BP7" i="24"/>
  <c r="BQ7" i="24"/>
  <c r="BR7" i="24"/>
  <c r="BS7" i="24"/>
  <c r="BT7" i="24"/>
  <c r="BU7" i="24"/>
  <c r="BV7" i="24"/>
  <c r="BW7" i="24"/>
  <c r="BX7" i="24"/>
  <c r="BY7" i="24"/>
  <c r="BZ7" i="24"/>
  <c r="CA7" i="24"/>
  <c r="CB7" i="24"/>
  <c r="CC7" i="24"/>
  <c r="CD7" i="24"/>
  <c r="CE7" i="24"/>
  <c r="CF7" i="24"/>
  <c r="CG7" i="24"/>
  <c r="CH7" i="24"/>
  <c r="CI7" i="24"/>
  <c r="CJ7" i="24"/>
  <c r="CK7" i="24"/>
  <c r="CL7" i="24"/>
  <c r="CM7" i="24"/>
  <c r="CN7" i="24"/>
  <c r="CO7" i="24"/>
  <c r="CP7" i="24"/>
  <c r="CQ7" i="24"/>
  <c r="CR7" i="24"/>
  <c r="CS7" i="24"/>
  <c r="CT7" i="24"/>
  <c r="CU7" i="24"/>
  <c r="CV7" i="24"/>
  <c r="CW7" i="24"/>
  <c r="CX7" i="24"/>
  <c r="CY7" i="24"/>
  <c r="CZ7" i="24"/>
  <c r="DA7" i="24"/>
  <c r="DB7" i="24"/>
  <c r="DC7" i="24"/>
  <c r="DD7" i="24"/>
  <c r="DE7" i="24"/>
  <c r="DF7" i="24"/>
  <c r="DG7" i="24"/>
  <c r="DH7" i="24"/>
  <c r="DI7" i="24"/>
  <c r="DJ7" i="24"/>
  <c r="DK7" i="24"/>
  <c r="DL7" i="24"/>
  <c r="DM7" i="24"/>
  <c r="DN7" i="24"/>
  <c r="DO7" i="24"/>
  <c r="DP7" i="24"/>
  <c r="DQ7" i="24"/>
  <c r="DR7" i="24"/>
  <c r="DS7" i="24"/>
  <c r="DT7" i="24"/>
  <c r="DU7" i="24"/>
  <c r="DV7" i="24"/>
  <c r="DW7" i="24"/>
  <c r="DX7" i="24"/>
  <c r="DY7" i="24"/>
  <c r="DZ7" i="24"/>
  <c r="EA7" i="24"/>
  <c r="EB7" i="24"/>
  <c r="EC7" i="24"/>
  <c r="ED7" i="24"/>
  <c r="EE7" i="24"/>
  <c r="EF7" i="24"/>
  <c r="EG7" i="24"/>
  <c r="EH7" i="24"/>
  <c r="EI7" i="24"/>
  <c r="EJ7" i="24"/>
  <c r="EK7" i="24"/>
  <c r="EL7" i="24"/>
  <c r="EM7" i="24"/>
  <c r="EN7" i="24"/>
  <c r="EO7" i="24"/>
  <c r="B7" i="24"/>
  <c r="AG51" i="25"/>
  <c r="AV5" i="25"/>
  <c r="AZ5" i="25"/>
  <c r="AV6" i="25"/>
  <c r="AZ6" i="25"/>
  <c r="AW6" i="25"/>
  <c r="BA6" i="25"/>
  <c r="AV7" i="25"/>
  <c r="AZ7" i="25"/>
  <c r="AV8" i="25"/>
  <c r="AZ8" i="25"/>
  <c r="AW8" i="25"/>
  <c r="BA8" i="25"/>
  <c r="AV11" i="25"/>
  <c r="AZ11" i="25"/>
  <c r="AV12" i="25"/>
  <c r="AZ12" i="25"/>
  <c r="AW12" i="25"/>
  <c r="BA12" i="25"/>
  <c r="AV13" i="25"/>
  <c r="AZ13" i="25"/>
  <c r="AW13" i="25"/>
  <c r="BA13" i="25"/>
  <c r="AV14" i="25"/>
  <c r="AZ14" i="25"/>
  <c r="AV16" i="25"/>
  <c r="AZ16" i="25"/>
  <c r="AW16" i="25"/>
  <c r="BA16" i="25"/>
  <c r="AV17" i="25"/>
  <c r="AZ17" i="25"/>
  <c r="AW17" i="25"/>
  <c r="BA17" i="25"/>
  <c r="AV20" i="25"/>
  <c r="AZ20" i="25"/>
  <c r="AW20" i="25"/>
  <c r="BA20" i="25"/>
  <c r="AV22" i="25"/>
  <c r="AZ22" i="25"/>
  <c r="AW22" i="25"/>
  <c r="BA22" i="25"/>
  <c r="AV24" i="25"/>
  <c r="AZ24" i="25"/>
  <c r="AV25" i="25"/>
  <c r="AZ25" i="25"/>
  <c r="AW25" i="25"/>
  <c r="BA25" i="25"/>
  <c r="AV26" i="25"/>
  <c r="AZ26" i="25"/>
  <c r="AW26" i="25"/>
  <c r="BA26" i="25"/>
  <c r="AV28" i="25"/>
  <c r="AZ28" i="25"/>
  <c r="AW28" i="25"/>
  <c r="BA28" i="25"/>
  <c r="AV29" i="25"/>
  <c r="AZ29" i="25"/>
  <c r="AW29" i="25"/>
  <c r="BA29" i="25"/>
  <c r="AV31" i="25"/>
  <c r="AZ31" i="25"/>
  <c r="AW31" i="25"/>
  <c r="BA31" i="25"/>
  <c r="AV32" i="25"/>
  <c r="AZ32" i="25"/>
  <c r="AW32" i="25"/>
  <c r="BA32" i="25"/>
  <c r="AV33" i="25"/>
  <c r="AZ33" i="25"/>
  <c r="AW33" i="25"/>
  <c r="BA33" i="25"/>
  <c r="AV35" i="25"/>
  <c r="AZ35" i="25"/>
  <c r="AW35" i="25"/>
  <c r="BA35" i="25"/>
  <c r="AV36" i="25"/>
  <c r="AZ36" i="25"/>
  <c r="AW36" i="25"/>
  <c r="BA36" i="25"/>
  <c r="AV37" i="25"/>
  <c r="AZ37" i="25"/>
  <c r="AW37" i="25"/>
  <c r="BA37" i="25"/>
  <c r="AV38" i="25"/>
  <c r="AZ38" i="25"/>
  <c r="AW38" i="25"/>
  <c r="BA38" i="25"/>
  <c r="AV39" i="25"/>
  <c r="AZ39" i="25"/>
  <c r="AW39" i="25"/>
  <c r="BA39" i="25"/>
  <c r="AV40" i="25"/>
  <c r="AZ40" i="25"/>
  <c r="AW40" i="25"/>
  <c r="BA40" i="25"/>
  <c r="AV41" i="25"/>
  <c r="AZ41" i="25"/>
  <c r="AW41" i="25"/>
  <c r="BA41" i="25"/>
  <c r="AV42" i="25"/>
  <c r="AZ42" i="25"/>
  <c r="AW42" i="25"/>
  <c r="BA42" i="25"/>
  <c r="AV43" i="25"/>
  <c r="AZ43" i="25"/>
  <c r="AW43" i="25"/>
  <c r="BA43" i="25"/>
  <c r="AV44" i="25"/>
  <c r="AZ44" i="25"/>
  <c r="AW44" i="25"/>
  <c r="BA44" i="25"/>
  <c r="AV45" i="25"/>
  <c r="AZ45" i="25"/>
  <c r="AW45" i="25"/>
  <c r="BA45" i="25"/>
  <c r="AV46" i="25"/>
  <c r="AZ46" i="25"/>
  <c r="AW46" i="25"/>
  <c r="BA46" i="25"/>
  <c r="AV48" i="25"/>
  <c r="AZ48" i="25"/>
  <c r="AW48" i="25"/>
  <c r="BA48" i="25"/>
  <c r="AV49" i="25"/>
  <c r="AZ49" i="25"/>
  <c r="AW49" i="25"/>
  <c r="BA49" i="25"/>
  <c r="AV52" i="25"/>
  <c r="AZ52" i="25"/>
  <c r="AW52" i="25"/>
  <c r="BA52" i="25"/>
  <c r="AV53" i="25"/>
  <c r="AZ53" i="25"/>
  <c r="AW53" i="25"/>
  <c r="BA53" i="25"/>
  <c r="AV54" i="25"/>
  <c r="AZ54" i="25"/>
  <c r="AW54" i="25"/>
  <c r="BA54" i="25"/>
  <c r="AV55" i="25"/>
  <c r="AZ55" i="25"/>
  <c r="AW55" i="25"/>
  <c r="BA55" i="25"/>
  <c r="AV57" i="25"/>
  <c r="AZ57" i="25"/>
  <c r="AW57" i="25"/>
  <c r="BA57" i="25"/>
  <c r="AV58" i="25"/>
  <c r="AZ58" i="25"/>
  <c r="AW58" i="25"/>
  <c r="BA58" i="25"/>
  <c r="AV59" i="25"/>
  <c r="AZ59" i="25"/>
  <c r="AV61" i="25"/>
  <c r="AZ61" i="25"/>
  <c r="AW61" i="25"/>
  <c r="BA61" i="25"/>
  <c r="AV62" i="25"/>
  <c r="AZ62" i="25"/>
  <c r="AW62" i="25"/>
  <c r="BA62" i="25"/>
  <c r="AV63" i="25"/>
  <c r="AZ63" i="25"/>
  <c r="AW63" i="25"/>
  <c r="BA63" i="25"/>
  <c r="AV64" i="25"/>
  <c r="AZ64" i="25"/>
  <c r="AW64" i="25"/>
  <c r="BA64" i="25"/>
  <c r="AV67" i="25"/>
  <c r="AZ67" i="25"/>
  <c r="AW67" i="25"/>
  <c r="BA67" i="25"/>
  <c r="AX50" i="25"/>
  <c r="AX51" i="25"/>
  <c r="AY50" i="25"/>
  <c r="AY51" i="25"/>
  <c r="AY10" i="25"/>
  <c r="AT66" i="25"/>
  <c r="AR66" i="25"/>
  <c r="AX10" i="25"/>
  <c r="AP10" i="25"/>
  <c r="AQ10" i="25"/>
  <c r="AR10" i="25"/>
  <c r="AT10" i="25"/>
  <c r="AP50" i="25"/>
  <c r="AP51" i="25"/>
  <c r="AQ51" i="25"/>
  <c r="AR50" i="25"/>
  <c r="AR51" i="25"/>
  <c r="AS50" i="25"/>
  <c r="AS51" i="25"/>
  <c r="AT50" i="25"/>
  <c r="AT51" i="25"/>
  <c r="AU50" i="25"/>
  <c r="AU51" i="25"/>
  <c r="AP56" i="25"/>
  <c r="AQ56" i="25"/>
  <c r="AR56" i="25"/>
  <c r="AS56" i="25"/>
  <c r="AT56" i="25"/>
  <c r="AU56" i="25"/>
  <c r="AW59" i="25"/>
  <c r="BA59" i="25"/>
  <c r="AN66" i="25"/>
  <c r="AO56" i="25"/>
  <c r="AW56" i="25"/>
  <c r="BA56" i="25"/>
  <c r="AN56" i="25"/>
  <c r="AN50" i="25"/>
  <c r="AN51" i="25"/>
  <c r="AO10" i="25"/>
  <c r="AN10" i="25"/>
  <c r="AL66" i="25"/>
  <c r="AM51" i="25"/>
  <c r="AL51" i="25"/>
  <c r="AM10" i="25"/>
  <c r="AD34" i="25"/>
  <c r="AW14" i="25"/>
  <c r="BA14" i="25"/>
  <c r="AE51" i="25"/>
  <c r="AD51" i="25"/>
  <c r="AW11" i="25"/>
  <c r="BA11" i="25"/>
  <c r="X27" i="25"/>
  <c r="X65" i="25"/>
  <c r="AV65" i="25"/>
  <c r="AZ65" i="25"/>
  <c r="X60" i="25"/>
  <c r="AV60" i="25"/>
  <c r="AZ60" i="25"/>
  <c r="R66" i="25"/>
  <c r="R34" i="25"/>
  <c r="AV34" i="25"/>
  <c r="AZ34" i="25"/>
  <c r="R27" i="25"/>
  <c r="R15" i="25"/>
  <c r="AV15" i="25"/>
  <c r="AZ15" i="25"/>
  <c r="Q10" i="25"/>
  <c r="N66" i="25"/>
  <c r="AW23" i="25"/>
  <c r="BA23" i="25"/>
  <c r="L23" i="25"/>
  <c r="AV23" i="25"/>
  <c r="AZ23" i="25"/>
  <c r="L19" i="25"/>
  <c r="L18" i="25"/>
  <c r="P50" i="25"/>
  <c r="P51" i="25"/>
  <c r="Q50" i="25"/>
  <c r="R50" i="25"/>
  <c r="R51" i="25"/>
  <c r="S50" i="25"/>
  <c r="S51" i="25"/>
  <c r="T50" i="25"/>
  <c r="T51" i="25"/>
  <c r="U50" i="25"/>
  <c r="U51" i="25"/>
  <c r="V50" i="25"/>
  <c r="V51" i="25"/>
  <c r="W50" i="25"/>
  <c r="W51" i="25"/>
  <c r="X50" i="25"/>
  <c r="X51" i="25"/>
  <c r="Y50" i="25"/>
  <c r="Y51" i="25"/>
  <c r="P10" i="25"/>
  <c r="R10" i="25"/>
  <c r="T10" i="25"/>
  <c r="U10" i="25"/>
  <c r="V10" i="25"/>
  <c r="W10" i="25"/>
  <c r="X10" i="25"/>
  <c r="I10" i="25"/>
  <c r="J10" i="25"/>
  <c r="K10" i="25"/>
  <c r="L10" i="25"/>
  <c r="N10" i="25"/>
  <c r="O10" i="25"/>
  <c r="N50" i="25"/>
  <c r="N51" i="25"/>
  <c r="O50" i="25"/>
  <c r="O51" i="25"/>
  <c r="H50" i="25"/>
  <c r="H51" i="25"/>
  <c r="I50" i="25"/>
  <c r="I51" i="25"/>
  <c r="J50" i="25"/>
  <c r="J51" i="25"/>
  <c r="K50" i="25"/>
  <c r="K51" i="25"/>
  <c r="L50" i="25"/>
  <c r="L51" i="25"/>
  <c r="M50" i="25"/>
  <c r="F21" i="25"/>
  <c r="AV21" i="25"/>
  <c r="AZ21" i="25"/>
  <c r="F19" i="25"/>
  <c r="F18" i="25"/>
  <c r="AV18" i="25"/>
  <c r="AZ18" i="25"/>
  <c r="D51" i="25"/>
  <c r="F50" i="25"/>
  <c r="F51" i="25"/>
  <c r="G50" i="25"/>
  <c r="G51" i="25"/>
  <c r="E50" i="25"/>
  <c r="E51" i="25"/>
  <c r="F10" i="25"/>
  <c r="G10" i="25"/>
  <c r="H10" i="25"/>
  <c r="D10" i="25"/>
  <c r="E10" i="25"/>
  <c r="C50" i="25"/>
  <c r="B50" i="25"/>
  <c r="C47" i="25"/>
  <c r="AW47" i="25"/>
  <c r="BA47" i="25"/>
  <c r="B47" i="25"/>
  <c r="AV47" i="25"/>
  <c r="AZ47" i="25"/>
  <c r="C30" i="25"/>
  <c r="AW30" i="25"/>
  <c r="BA30" i="25"/>
  <c r="B30" i="25"/>
  <c r="AV30" i="25"/>
  <c r="AZ30" i="25"/>
  <c r="B10" i="25"/>
  <c r="C10" i="25"/>
  <c r="AW10" i="25"/>
  <c r="BA10" i="25"/>
  <c r="AI38" i="19"/>
  <c r="AI19" i="19"/>
  <c r="AW17" i="3"/>
  <c r="BA17" i="3"/>
  <c r="AV6" i="3"/>
  <c r="AZ6" i="3"/>
  <c r="AW6" i="3"/>
  <c r="BA6" i="3"/>
  <c r="AV7" i="3"/>
  <c r="AZ7" i="3"/>
  <c r="AW7" i="3"/>
  <c r="BA7" i="3"/>
  <c r="AV8" i="3"/>
  <c r="AZ8" i="3"/>
  <c r="AW8" i="3"/>
  <c r="BA8" i="3"/>
  <c r="AV9" i="3"/>
  <c r="AZ9" i="3"/>
  <c r="AW9" i="3"/>
  <c r="BA9" i="3"/>
  <c r="AV10" i="3"/>
  <c r="AZ10" i="3"/>
  <c r="AW10" i="3"/>
  <c r="BA10" i="3"/>
  <c r="AV11" i="3"/>
  <c r="AZ11" i="3"/>
  <c r="AW11" i="3"/>
  <c r="BA11" i="3"/>
  <c r="AV12" i="3"/>
  <c r="AZ12" i="3"/>
  <c r="AW12" i="3"/>
  <c r="BA12" i="3"/>
  <c r="AV13" i="3"/>
  <c r="AZ13" i="3"/>
  <c r="AW13" i="3"/>
  <c r="BA13" i="3"/>
  <c r="AV14" i="3"/>
  <c r="AZ14" i="3"/>
  <c r="AW14" i="3"/>
  <c r="BA14" i="3"/>
  <c r="AV15" i="3"/>
  <c r="AZ15" i="3"/>
  <c r="AW15" i="3"/>
  <c r="BA15" i="3"/>
  <c r="AW5" i="3"/>
  <c r="BA5" i="3"/>
  <c r="AV6" i="4"/>
  <c r="AZ6" i="4"/>
  <c r="AW6" i="4"/>
  <c r="BA6" i="4"/>
  <c r="AV7" i="4"/>
  <c r="AZ7" i="4"/>
  <c r="AW7" i="4"/>
  <c r="BA7" i="4"/>
  <c r="AV8" i="4"/>
  <c r="AZ8" i="4"/>
  <c r="AW8" i="4"/>
  <c r="BA8" i="4"/>
  <c r="AV9" i="4"/>
  <c r="AZ9" i="4"/>
  <c r="AW9" i="4"/>
  <c r="BA9" i="4"/>
  <c r="AV10" i="4"/>
  <c r="AZ10" i="4"/>
  <c r="AW10" i="4"/>
  <c r="BA10" i="4"/>
  <c r="AV11" i="4"/>
  <c r="AZ11" i="4"/>
  <c r="AW11" i="4"/>
  <c r="BA11" i="4"/>
  <c r="AV12" i="4"/>
  <c r="AZ12" i="4"/>
  <c r="AW12" i="4"/>
  <c r="BA12" i="4"/>
  <c r="AV13" i="4"/>
  <c r="AZ13" i="4"/>
  <c r="AW13" i="4"/>
  <c r="BA13" i="4"/>
  <c r="AV14" i="4"/>
  <c r="AZ14" i="4"/>
  <c r="AW14" i="4"/>
  <c r="BA14" i="4"/>
  <c r="AV15" i="4"/>
  <c r="AZ15" i="4"/>
  <c r="AW15" i="4"/>
  <c r="BA15" i="4"/>
  <c r="AW5" i="4"/>
  <c r="BA5" i="4"/>
  <c r="AV13" i="1"/>
  <c r="AZ13" i="1"/>
  <c r="AW13" i="1"/>
  <c r="BA13" i="1"/>
  <c r="AW5" i="1"/>
  <c r="BA5" i="1"/>
  <c r="AW6" i="1"/>
  <c r="BA6" i="1"/>
  <c r="AW7" i="1"/>
  <c r="BA7" i="1"/>
  <c r="AW8" i="1"/>
  <c r="BA8" i="1"/>
  <c r="AW9" i="1"/>
  <c r="BA9" i="1"/>
  <c r="AW10" i="1"/>
  <c r="BA10" i="1"/>
  <c r="AW11" i="1"/>
  <c r="BA11" i="1"/>
  <c r="AV6" i="1"/>
  <c r="AZ6" i="1"/>
  <c r="AV7" i="1"/>
  <c r="AZ7" i="1"/>
  <c r="AV8" i="1"/>
  <c r="AZ8" i="1"/>
  <c r="AV9" i="1"/>
  <c r="AZ9" i="1"/>
  <c r="AV10" i="1"/>
  <c r="AZ10" i="1"/>
  <c r="AV11" i="1"/>
  <c r="AZ11" i="1"/>
  <c r="AX36" i="8"/>
  <c r="AJ36" i="8"/>
  <c r="AJ8" i="8"/>
  <c r="AF36" i="8"/>
  <c r="AF26" i="8"/>
  <c r="Z36" i="8"/>
  <c r="Z9" i="8"/>
  <c r="Y38" i="8"/>
  <c r="X36" i="8"/>
  <c r="V28" i="8"/>
  <c r="AV28" i="8"/>
  <c r="AZ28" i="8"/>
  <c r="T36" i="8"/>
  <c r="R36" i="8"/>
  <c r="R26" i="8"/>
  <c r="N36" i="8"/>
  <c r="N38" i="8"/>
  <c r="AW33" i="8"/>
  <c r="BA33" i="8"/>
  <c r="J33" i="8"/>
  <c r="H8" i="8"/>
  <c r="H38" i="8"/>
  <c r="B36" i="8"/>
  <c r="AV36" i="8"/>
  <c r="AZ36" i="8"/>
  <c r="AW17" i="19"/>
  <c r="AW8" i="19"/>
  <c r="AU38" i="19"/>
  <c r="AU19" i="19"/>
  <c r="AK38" i="19"/>
  <c r="AE19" i="19"/>
  <c r="Y19" i="19"/>
  <c r="W57" i="19"/>
  <c r="W36" i="19"/>
  <c r="U57" i="19"/>
  <c r="U38" i="19"/>
  <c r="U19" i="19"/>
  <c r="S38" i="19"/>
  <c r="K19" i="19"/>
  <c r="M8" i="19"/>
  <c r="O8" i="19"/>
  <c r="Q8" i="19"/>
  <c r="S8" i="19"/>
  <c r="U8" i="19"/>
  <c r="W8" i="19"/>
  <c r="Y8" i="19"/>
  <c r="AA8" i="19"/>
  <c r="AC8" i="19"/>
  <c r="AE8" i="19"/>
  <c r="AG8" i="19"/>
  <c r="AI8" i="19"/>
  <c r="AK8" i="19"/>
  <c r="AM8" i="19"/>
  <c r="AN8" i="19"/>
  <c r="AO8" i="19"/>
  <c r="AQ8" i="19"/>
  <c r="AS8" i="19"/>
  <c r="AU8" i="19"/>
  <c r="K8" i="19"/>
  <c r="I8" i="19"/>
  <c r="G17" i="19"/>
  <c r="G8" i="19"/>
  <c r="E41" i="19"/>
  <c r="E19" i="19"/>
  <c r="C57" i="19"/>
  <c r="C41" i="19"/>
  <c r="C8" i="19"/>
  <c r="AS40" i="11"/>
  <c r="AR32" i="11"/>
  <c r="AR21" i="11"/>
  <c r="AF25" i="11"/>
  <c r="AF12" i="11"/>
  <c r="U32" i="11"/>
  <c r="U40" i="11"/>
  <c r="T32" i="11"/>
  <c r="T40" i="11"/>
  <c r="R32" i="11"/>
  <c r="S32" i="11"/>
  <c r="AW32" i="11"/>
  <c r="BA32" i="11"/>
  <c r="P32" i="11"/>
  <c r="Q40" i="11"/>
  <c r="M26" i="11"/>
  <c r="L21" i="11"/>
  <c r="L26" i="11"/>
  <c r="K40" i="11"/>
  <c r="J32" i="11"/>
  <c r="AS16" i="9"/>
  <c r="AW6" i="9"/>
  <c r="BA6" i="9"/>
  <c r="AW7" i="9"/>
  <c r="BA7" i="9"/>
  <c r="AW8" i="9"/>
  <c r="BA8" i="9"/>
  <c r="AW9" i="9"/>
  <c r="BA9" i="9"/>
  <c r="AW10" i="9"/>
  <c r="BA10" i="9"/>
  <c r="AW11" i="9"/>
  <c r="BA11" i="9"/>
  <c r="AW12" i="9"/>
  <c r="BA12" i="9"/>
  <c r="AW13" i="9"/>
  <c r="BA13" i="9"/>
  <c r="AW14" i="9"/>
  <c r="BA14" i="9"/>
  <c r="AW15" i="9"/>
  <c r="BA15" i="9"/>
  <c r="AW5" i="9"/>
  <c r="BA5" i="9"/>
  <c r="AY16" i="9"/>
  <c r="AX16" i="9"/>
  <c r="AU16" i="9"/>
  <c r="AT16" i="9"/>
  <c r="AR16" i="9"/>
  <c r="AQ16" i="9"/>
  <c r="AP16" i="9"/>
  <c r="AO16" i="9"/>
  <c r="AN16" i="9"/>
  <c r="AM16" i="9"/>
  <c r="AL16" i="9"/>
  <c r="AJ16" i="9"/>
  <c r="AH16" i="9"/>
  <c r="AG16" i="9"/>
  <c r="AF16" i="9"/>
  <c r="AD16" i="9"/>
  <c r="AB16" i="9"/>
  <c r="Z16" i="9"/>
  <c r="X16" i="9"/>
  <c r="V16" i="9"/>
  <c r="T16" i="9"/>
  <c r="R16" i="9"/>
  <c r="P16" i="9"/>
  <c r="N16" i="9"/>
  <c r="L16" i="9"/>
  <c r="J16" i="9"/>
  <c r="AX15" i="6"/>
  <c r="AT10" i="6"/>
  <c r="AT34" i="6"/>
  <c r="AT36" i="6"/>
  <c r="AT38" i="6"/>
  <c r="AR22" i="6"/>
  <c r="T22" i="6"/>
  <c r="AY14" i="22"/>
  <c r="AQ14" i="22"/>
  <c r="AP6" i="22"/>
  <c r="AP14" i="22"/>
  <c r="V6" i="22"/>
  <c r="AW8" i="22"/>
  <c r="BA8" i="22"/>
  <c r="AW9" i="22"/>
  <c r="BA9" i="22"/>
  <c r="AW10" i="22"/>
  <c r="BA10" i="22"/>
  <c r="AW11" i="22"/>
  <c r="BA11" i="22"/>
  <c r="AW12" i="22"/>
  <c r="BA12" i="22"/>
  <c r="AV5" i="22"/>
  <c r="AZ5" i="22"/>
  <c r="AV7" i="22"/>
  <c r="AZ7" i="22"/>
  <c r="AV8" i="22"/>
  <c r="AZ8" i="22"/>
  <c r="AV9" i="22"/>
  <c r="AZ9" i="22"/>
  <c r="AV10" i="22"/>
  <c r="AZ10" i="22"/>
  <c r="AV11" i="22"/>
  <c r="AZ11" i="22"/>
  <c r="AV12" i="22"/>
  <c r="AZ12" i="22"/>
  <c r="AV13" i="22"/>
  <c r="AZ13" i="22"/>
  <c r="AW4" i="22"/>
  <c r="BA4" i="22"/>
  <c r="AV4" i="22"/>
  <c r="AZ4" i="22"/>
  <c r="AO14" i="22"/>
  <c r="AR14" i="22"/>
  <c r="AF14" i="22"/>
  <c r="AH14" i="22"/>
  <c r="AI14" i="22"/>
  <c r="AJ14" i="22"/>
  <c r="AK14" i="22"/>
  <c r="AL14" i="22"/>
  <c r="AM14" i="22"/>
  <c r="AN14" i="22"/>
  <c r="Y14" i="22"/>
  <c r="Z14" i="22"/>
  <c r="AA14" i="22"/>
  <c r="AB14" i="22"/>
  <c r="AC14" i="22"/>
  <c r="AD14" i="22"/>
  <c r="W14" i="22"/>
  <c r="X14" i="22"/>
  <c r="R14" i="22"/>
  <c r="S14" i="22"/>
  <c r="T14" i="22"/>
  <c r="U14" i="22"/>
  <c r="K14" i="22"/>
  <c r="L14" i="22"/>
  <c r="N14" i="22"/>
  <c r="O14" i="22"/>
  <c r="P14" i="22"/>
  <c r="I14" i="22"/>
  <c r="G14" i="22"/>
  <c r="E14" i="22"/>
  <c r="C14" i="22"/>
  <c r="AU14" i="22"/>
  <c r="AX12" i="1"/>
  <c r="AX14" i="1"/>
  <c r="AV5" i="1"/>
  <c r="AZ5" i="1"/>
  <c r="AY13" i="7"/>
  <c r="AX10" i="7"/>
  <c r="AU10" i="7"/>
  <c r="AT10" i="7"/>
  <c r="AT13" i="7"/>
  <c r="AS10" i="7"/>
  <c r="AR10" i="7"/>
  <c r="AQ10" i="7"/>
  <c r="AQ13" i="7"/>
  <c r="AQ15" i="7"/>
  <c r="AP10" i="7"/>
  <c r="AO10" i="7"/>
  <c r="AN10" i="7"/>
  <c r="AM10" i="7"/>
  <c r="AL10" i="7"/>
  <c r="AK10" i="7"/>
  <c r="AJ10" i="7"/>
  <c r="AI10" i="7"/>
  <c r="AI13" i="7"/>
  <c r="AI15" i="7"/>
  <c r="AH10" i="7"/>
  <c r="AG10" i="7"/>
  <c r="AF10" i="7"/>
  <c r="AE10" i="7"/>
  <c r="AD10" i="7"/>
  <c r="AD13" i="7"/>
  <c r="AC10" i="7"/>
  <c r="AB10" i="7"/>
  <c r="AB13" i="7"/>
  <c r="AA10" i="7"/>
  <c r="AA13" i="7"/>
  <c r="Z10" i="7"/>
  <c r="Y10" i="7"/>
  <c r="X10" i="7"/>
  <c r="W10" i="7"/>
  <c r="W13" i="7"/>
  <c r="V10" i="7"/>
  <c r="V13" i="7"/>
  <c r="U10" i="7"/>
  <c r="T10" i="7"/>
  <c r="T13" i="7"/>
  <c r="AV13" i="7"/>
  <c r="AZ13" i="7"/>
  <c r="S10" i="7"/>
  <c r="S13" i="7"/>
  <c r="R10" i="7"/>
  <c r="R13" i="7"/>
  <c r="Q10" i="7"/>
  <c r="Q13" i="7"/>
  <c r="P10" i="7"/>
  <c r="P13" i="7"/>
  <c r="O10" i="7"/>
  <c r="O13" i="7"/>
  <c r="N10" i="7"/>
  <c r="M10" i="7"/>
  <c r="L10" i="7"/>
  <c r="K10" i="7"/>
  <c r="K13" i="7"/>
  <c r="J10" i="7"/>
  <c r="I10" i="7"/>
  <c r="I13" i="7"/>
  <c r="H10" i="7"/>
  <c r="G10" i="7"/>
  <c r="G13" i="7"/>
  <c r="F10" i="7"/>
  <c r="F13" i="7"/>
  <c r="E10" i="7"/>
  <c r="E13" i="7"/>
  <c r="D10" i="7"/>
  <c r="D13" i="7"/>
  <c r="C10" i="7"/>
  <c r="B10" i="7"/>
  <c r="B13" i="7"/>
  <c r="AV8" i="5"/>
  <c r="AZ8" i="5"/>
  <c r="AV9" i="5"/>
  <c r="AZ9" i="5"/>
  <c r="AV7" i="5"/>
  <c r="AZ7" i="5"/>
  <c r="AY10" i="5"/>
  <c r="AY14" i="5"/>
  <c r="AX10" i="5"/>
  <c r="C10" i="5"/>
  <c r="C14" i="5"/>
  <c r="D10" i="5"/>
  <c r="D14" i="5"/>
  <c r="E10" i="5"/>
  <c r="F10" i="5"/>
  <c r="F14" i="5"/>
  <c r="G10" i="5"/>
  <c r="G12" i="5"/>
  <c r="H10" i="5"/>
  <c r="I10" i="5"/>
  <c r="I12" i="5"/>
  <c r="J10" i="5"/>
  <c r="K10" i="5"/>
  <c r="K12" i="5"/>
  <c r="L10" i="5"/>
  <c r="L12" i="5"/>
  <c r="M10" i="5"/>
  <c r="N10" i="5"/>
  <c r="O10" i="5"/>
  <c r="O12" i="5"/>
  <c r="P10" i="5"/>
  <c r="P14" i="5"/>
  <c r="Q10" i="5"/>
  <c r="Q14" i="5"/>
  <c r="R10" i="5"/>
  <c r="R12" i="5"/>
  <c r="S10" i="5"/>
  <c r="S12" i="5"/>
  <c r="T10" i="5"/>
  <c r="T14" i="5"/>
  <c r="U10" i="5"/>
  <c r="U14" i="5"/>
  <c r="V10" i="5"/>
  <c r="V14" i="5"/>
  <c r="W10" i="5"/>
  <c r="W14" i="5"/>
  <c r="X10" i="5"/>
  <c r="X12" i="5"/>
  <c r="Y10" i="5"/>
  <c r="Y14" i="5"/>
  <c r="Z10" i="5"/>
  <c r="Z14" i="5"/>
  <c r="AA10" i="5"/>
  <c r="AA14" i="5"/>
  <c r="AB10" i="5"/>
  <c r="AB14" i="5"/>
  <c r="AC10" i="5"/>
  <c r="AC14" i="5"/>
  <c r="AD10" i="5"/>
  <c r="AD12" i="5"/>
  <c r="AE10" i="5"/>
  <c r="AE12" i="5"/>
  <c r="AF10" i="5"/>
  <c r="AF12" i="5"/>
  <c r="AG10" i="5"/>
  <c r="AG12" i="5"/>
  <c r="AH10" i="5"/>
  <c r="AH14" i="5"/>
  <c r="AI10" i="5"/>
  <c r="AI12" i="5"/>
  <c r="AJ10" i="5"/>
  <c r="AK10" i="5"/>
  <c r="AK12" i="5"/>
  <c r="AL10" i="5"/>
  <c r="AL14" i="5"/>
  <c r="AM10" i="5"/>
  <c r="AM12" i="5"/>
  <c r="AN10" i="5"/>
  <c r="AN12" i="5"/>
  <c r="AO10" i="5"/>
  <c r="AO12" i="5"/>
  <c r="AP10" i="5"/>
  <c r="AP12" i="5"/>
  <c r="AP14" i="5"/>
  <c r="AQ10" i="5"/>
  <c r="AQ12" i="5"/>
  <c r="AQ14" i="5"/>
  <c r="AR10" i="5"/>
  <c r="AS10" i="5"/>
  <c r="AS12" i="5"/>
  <c r="AT10" i="5"/>
  <c r="AT14" i="5"/>
  <c r="AU10" i="5"/>
  <c r="AU14" i="5"/>
  <c r="B10" i="5"/>
  <c r="B14" i="5"/>
  <c r="B12" i="5"/>
  <c r="D38" i="8"/>
  <c r="E38" i="8"/>
  <c r="F38" i="8"/>
  <c r="G38" i="8"/>
  <c r="L38" i="8"/>
  <c r="M38" i="8"/>
  <c r="P38" i="8"/>
  <c r="P40" i="8"/>
  <c r="Q38" i="8"/>
  <c r="AB38" i="8"/>
  <c r="AC38" i="8"/>
  <c r="AH38" i="8"/>
  <c r="AI38" i="8"/>
  <c r="AL38" i="8"/>
  <c r="AM38" i="8"/>
  <c r="AN38" i="8"/>
  <c r="AO38" i="8"/>
  <c r="AP38" i="8"/>
  <c r="AQ38" i="8"/>
  <c r="AR38" i="8"/>
  <c r="AS38" i="8"/>
  <c r="AT38" i="8"/>
  <c r="AU38" i="8"/>
  <c r="AQ56" i="19"/>
  <c r="AU56" i="19"/>
  <c r="AC56" i="19"/>
  <c r="AE56" i="19"/>
  <c r="AG56" i="19"/>
  <c r="AI56" i="19"/>
  <c r="AK56" i="19"/>
  <c r="AM56" i="19"/>
  <c r="AO56" i="19"/>
  <c r="Q56" i="19"/>
  <c r="S56" i="19"/>
  <c r="U56" i="19"/>
  <c r="W56" i="19"/>
  <c r="E56" i="19"/>
  <c r="G56" i="19"/>
  <c r="K56" i="19"/>
  <c r="M56" i="19"/>
  <c r="O56" i="19"/>
  <c r="AB40" i="11"/>
  <c r="AC40" i="11"/>
  <c r="V40" i="11"/>
  <c r="W40" i="11"/>
  <c r="X40" i="11"/>
  <c r="AA40" i="11"/>
  <c r="AN40" i="11"/>
  <c r="AO40" i="11"/>
  <c r="AI40" i="11"/>
  <c r="H40" i="11"/>
  <c r="I40" i="11"/>
  <c r="AV13" i="9"/>
  <c r="AZ13" i="9"/>
  <c r="F8" i="23"/>
  <c r="Y6" i="21"/>
  <c r="AA6" i="21"/>
  <c r="Y7" i="21"/>
  <c r="AA7" i="21"/>
  <c r="Y8" i="21"/>
  <c r="AA8" i="21"/>
  <c r="Y9" i="21"/>
  <c r="AA9" i="21"/>
  <c r="Y10" i="21"/>
  <c r="AA10" i="21"/>
  <c r="Y11" i="21"/>
  <c r="AA11" i="21"/>
  <c r="Y12" i="21"/>
  <c r="AA12" i="21"/>
  <c r="Y13" i="21"/>
  <c r="AA13" i="21"/>
  <c r="Y14" i="21"/>
  <c r="AA14" i="21"/>
  <c r="Y15" i="21"/>
  <c r="AA15" i="21"/>
  <c r="Y16" i="21"/>
  <c r="AA16" i="21"/>
  <c r="Y17" i="21"/>
  <c r="AA17" i="21"/>
  <c r="Y18" i="21"/>
  <c r="AA18" i="21"/>
  <c r="Y19" i="21"/>
  <c r="AA19" i="21"/>
  <c r="Y20" i="21"/>
  <c r="AA20" i="21"/>
  <c r="Y21" i="21"/>
  <c r="AA21" i="21"/>
  <c r="Y22" i="21"/>
  <c r="AA22" i="21"/>
  <c r="Y5" i="21"/>
  <c r="AA5" i="21"/>
  <c r="I29" i="7"/>
  <c r="C56" i="19"/>
  <c r="Y4" i="23"/>
  <c r="AA4" i="23"/>
  <c r="O8" i="23"/>
  <c r="J14" i="22"/>
  <c r="AT14" i="22"/>
  <c r="AX14" i="22"/>
  <c r="D14" i="22"/>
  <c r="F14" i="22"/>
  <c r="H14" i="22"/>
  <c r="B14" i="22"/>
  <c r="L40" i="11"/>
  <c r="L12" i="11"/>
  <c r="AV6" i="2"/>
  <c r="AZ6" i="2"/>
  <c r="AW6" i="2"/>
  <c r="BA6" i="2"/>
  <c r="AV7" i="2"/>
  <c r="AZ7" i="2"/>
  <c r="AW7" i="2"/>
  <c r="BA7" i="2"/>
  <c r="AV8" i="2"/>
  <c r="AZ8" i="2"/>
  <c r="AW8" i="2"/>
  <c r="BA8" i="2"/>
  <c r="AV9" i="2"/>
  <c r="AZ9" i="2"/>
  <c r="AW9" i="2"/>
  <c r="BA9" i="2"/>
  <c r="AV10" i="2"/>
  <c r="AZ10" i="2"/>
  <c r="AW10" i="2"/>
  <c r="BA10" i="2"/>
  <c r="AV11" i="2"/>
  <c r="AZ11" i="2"/>
  <c r="AW11" i="2"/>
  <c r="BA11" i="2"/>
  <c r="AV13" i="2"/>
  <c r="AZ13" i="2"/>
  <c r="AW13" i="2"/>
  <c r="BA13" i="2"/>
  <c r="AW5" i="2"/>
  <c r="BA5" i="2"/>
  <c r="AV5" i="2"/>
  <c r="AZ5" i="2"/>
  <c r="Y38" i="6"/>
  <c r="AC12" i="2"/>
  <c r="AC14" i="2"/>
  <c r="AB12" i="2"/>
  <c r="AB14" i="2"/>
  <c r="AB12" i="1"/>
  <c r="AB14" i="1"/>
  <c r="AC12" i="1"/>
  <c r="AC14" i="1"/>
  <c r="AY16" i="3"/>
  <c r="AY18" i="3"/>
  <c r="AX16" i="3"/>
  <c r="AX18" i="3"/>
  <c r="C16" i="3"/>
  <c r="C18" i="3"/>
  <c r="D16" i="3"/>
  <c r="D18" i="3"/>
  <c r="AV18" i="3"/>
  <c r="AZ18" i="3"/>
  <c r="E16" i="3"/>
  <c r="E18" i="3"/>
  <c r="F16" i="3"/>
  <c r="F18" i="3"/>
  <c r="G16" i="3"/>
  <c r="G18" i="3"/>
  <c r="H16" i="3"/>
  <c r="H18" i="3"/>
  <c r="I16" i="3"/>
  <c r="I18" i="3"/>
  <c r="AW18" i="3"/>
  <c r="BA18" i="3"/>
  <c r="J16" i="3"/>
  <c r="J18" i="3"/>
  <c r="K16" i="3"/>
  <c r="L16" i="3"/>
  <c r="L18" i="3"/>
  <c r="M16" i="3"/>
  <c r="M18" i="3"/>
  <c r="N16" i="3"/>
  <c r="N18" i="3"/>
  <c r="O16" i="3"/>
  <c r="O18" i="3"/>
  <c r="P16" i="3"/>
  <c r="P18" i="3"/>
  <c r="Q16" i="3"/>
  <c r="Q18" i="3"/>
  <c r="R16" i="3"/>
  <c r="R18" i="3"/>
  <c r="S16" i="3"/>
  <c r="S18" i="3"/>
  <c r="T16" i="3"/>
  <c r="T18" i="3"/>
  <c r="U16" i="3"/>
  <c r="U18" i="3"/>
  <c r="V16" i="3"/>
  <c r="V18" i="3"/>
  <c r="W16" i="3"/>
  <c r="W18" i="3"/>
  <c r="X16" i="3"/>
  <c r="X18" i="3"/>
  <c r="Y16" i="3"/>
  <c r="Y18" i="3"/>
  <c r="Z16" i="3"/>
  <c r="Z18" i="3"/>
  <c r="AA16" i="3"/>
  <c r="AA18" i="3"/>
  <c r="AB16" i="3"/>
  <c r="AB18" i="3"/>
  <c r="AC16" i="3"/>
  <c r="AC18" i="3"/>
  <c r="AD16" i="3"/>
  <c r="AD18" i="3"/>
  <c r="AE16" i="3"/>
  <c r="AE18" i="3"/>
  <c r="AF16" i="3"/>
  <c r="AF18" i="3"/>
  <c r="AG16" i="3"/>
  <c r="AG18" i="3"/>
  <c r="AH16" i="3"/>
  <c r="AH18" i="3"/>
  <c r="AI16" i="3"/>
  <c r="AI18" i="3"/>
  <c r="AJ16" i="3"/>
  <c r="AJ18" i="3"/>
  <c r="AK16" i="3"/>
  <c r="AK18" i="3"/>
  <c r="AL16" i="3"/>
  <c r="AL18" i="3"/>
  <c r="AM16" i="3"/>
  <c r="AM18" i="3"/>
  <c r="AN16" i="3"/>
  <c r="AN18" i="3"/>
  <c r="AO16" i="3"/>
  <c r="AO18" i="3"/>
  <c r="AP16" i="3"/>
  <c r="AP18" i="3"/>
  <c r="AQ16" i="3"/>
  <c r="AQ18" i="3"/>
  <c r="AR16" i="3"/>
  <c r="AR18" i="3"/>
  <c r="AS16" i="3"/>
  <c r="AS18" i="3"/>
  <c r="AT16" i="3"/>
  <c r="AT18" i="3"/>
  <c r="AU16" i="3"/>
  <c r="AU18" i="3"/>
  <c r="B16" i="3"/>
  <c r="B18" i="3"/>
  <c r="AY16" i="4"/>
  <c r="AY18" i="4"/>
  <c r="AX16" i="4"/>
  <c r="AX18" i="4"/>
  <c r="C16" i="4"/>
  <c r="C18" i="4"/>
  <c r="D16" i="4"/>
  <c r="D18" i="4"/>
  <c r="E16" i="4"/>
  <c r="E18" i="4"/>
  <c r="F16" i="4"/>
  <c r="F18" i="4"/>
  <c r="G16" i="4"/>
  <c r="G18" i="4"/>
  <c r="H16" i="4"/>
  <c r="H18" i="4"/>
  <c r="I16" i="4"/>
  <c r="I18" i="4"/>
  <c r="J16" i="4"/>
  <c r="J18" i="4"/>
  <c r="K16" i="4"/>
  <c r="K18" i="4"/>
  <c r="L16" i="4"/>
  <c r="L18" i="4"/>
  <c r="M16" i="4"/>
  <c r="M18" i="4"/>
  <c r="N16" i="4"/>
  <c r="N18" i="4"/>
  <c r="O16" i="4"/>
  <c r="O18" i="4"/>
  <c r="P16" i="4"/>
  <c r="P18" i="4"/>
  <c r="Q16" i="4"/>
  <c r="Q18" i="4"/>
  <c r="R16" i="4"/>
  <c r="R18" i="4"/>
  <c r="S16" i="4"/>
  <c r="S18" i="4"/>
  <c r="T16" i="4"/>
  <c r="T18" i="4"/>
  <c r="U16" i="4"/>
  <c r="U18" i="4"/>
  <c r="V16" i="4"/>
  <c r="V18" i="4"/>
  <c r="W16" i="4"/>
  <c r="W18" i="4"/>
  <c r="X16" i="4"/>
  <c r="X18" i="4"/>
  <c r="Y16" i="4"/>
  <c r="Y18" i="4"/>
  <c r="Z16" i="4"/>
  <c r="Z18" i="4"/>
  <c r="AA16" i="4"/>
  <c r="AA18" i="4"/>
  <c r="AB16" i="4"/>
  <c r="AB18" i="4"/>
  <c r="AC16" i="4"/>
  <c r="AC18" i="4"/>
  <c r="AD16" i="4"/>
  <c r="AD18" i="4"/>
  <c r="AE16" i="4"/>
  <c r="AE18" i="4"/>
  <c r="AF16" i="4"/>
  <c r="AF18" i="4"/>
  <c r="AG16" i="4"/>
  <c r="AG18" i="4"/>
  <c r="AH16" i="4"/>
  <c r="AH18" i="4"/>
  <c r="AI16" i="4"/>
  <c r="AI18" i="4"/>
  <c r="AJ16" i="4"/>
  <c r="AJ18" i="4"/>
  <c r="AK16" i="4"/>
  <c r="AK18" i="4"/>
  <c r="AL16" i="4"/>
  <c r="AL18" i="4"/>
  <c r="AM16" i="4"/>
  <c r="AM18" i="4"/>
  <c r="AN16" i="4"/>
  <c r="AN18" i="4"/>
  <c r="AO16" i="4"/>
  <c r="AO18" i="4"/>
  <c r="AP16" i="4"/>
  <c r="AP18" i="4"/>
  <c r="AQ16" i="4"/>
  <c r="AQ18" i="4"/>
  <c r="AR16" i="4"/>
  <c r="AR18" i="4"/>
  <c r="AV18" i="4"/>
  <c r="AZ18" i="4"/>
  <c r="AS16" i="4"/>
  <c r="AS18" i="4"/>
  <c r="AT16" i="4"/>
  <c r="AT18" i="4"/>
  <c r="AU16" i="4"/>
  <c r="AU18" i="4"/>
  <c r="B16" i="4"/>
  <c r="AY12" i="2"/>
  <c r="AY14" i="2"/>
  <c r="AX12" i="2"/>
  <c r="AX14" i="2"/>
  <c r="C12" i="2"/>
  <c r="C14" i="2"/>
  <c r="D12" i="2"/>
  <c r="E12" i="2"/>
  <c r="E14" i="2"/>
  <c r="F12" i="2"/>
  <c r="F14" i="2"/>
  <c r="G12" i="2"/>
  <c r="G14" i="2"/>
  <c r="H12" i="2"/>
  <c r="H14" i="2"/>
  <c r="I12" i="2"/>
  <c r="I14" i="2"/>
  <c r="J12" i="2"/>
  <c r="J14" i="2"/>
  <c r="K12" i="2"/>
  <c r="K14" i="2"/>
  <c r="L12" i="2"/>
  <c r="L14" i="2"/>
  <c r="M12" i="2"/>
  <c r="N12" i="2"/>
  <c r="N14" i="2"/>
  <c r="O12" i="2"/>
  <c r="O14" i="2"/>
  <c r="R12" i="2"/>
  <c r="R14" i="2"/>
  <c r="S12" i="2"/>
  <c r="S14" i="2"/>
  <c r="T12" i="2"/>
  <c r="T14" i="2"/>
  <c r="U12" i="2"/>
  <c r="U14" i="2"/>
  <c r="V12" i="2"/>
  <c r="V14" i="2"/>
  <c r="W12" i="2"/>
  <c r="W14" i="2"/>
  <c r="X12" i="2"/>
  <c r="X14" i="2"/>
  <c r="Y12" i="2"/>
  <c r="Y14" i="2"/>
  <c r="Z12" i="2"/>
  <c r="Z14" i="2"/>
  <c r="AA12" i="2"/>
  <c r="AA14" i="2"/>
  <c r="P12" i="2"/>
  <c r="P14" i="2"/>
  <c r="Q12" i="2"/>
  <c r="Q14" i="2"/>
  <c r="AD12" i="2"/>
  <c r="AD14" i="2"/>
  <c r="AE12" i="2"/>
  <c r="AE14" i="2"/>
  <c r="AF12" i="2"/>
  <c r="AF14" i="2"/>
  <c r="AG12" i="2"/>
  <c r="AG14" i="2"/>
  <c r="AH12" i="2"/>
  <c r="AH14" i="2"/>
  <c r="AI12" i="2"/>
  <c r="AI14" i="2"/>
  <c r="AJ12" i="2"/>
  <c r="AJ14" i="2"/>
  <c r="AK12" i="2"/>
  <c r="AK14" i="2"/>
  <c r="AL12" i="2"/>
  <c r="AL14" i="2"/>
  <c r="AM12" i="2"/>
  <c r="AM14" i="2"/>
  <c r="AN12" i="2"/>
  <c r="AN14" i="2"/>
  <c r="AO12" i="2"/>
  <c r="AO14" i="2"/>
  <c r="AP12" i="2"/>
  <c r="AP14" i="2"/>
  <c r="AQ12" i="2"/>
  <c r="AQ14" i="2"/>
  <c r="AR12" i="2"/>
  <c r="AR14" i="2"/>
  <c r="AS12" i="2"/>
  <c r="AS14" i="2"/>
  <c r="AT12" i="2"/>
  <c r="AT14" i="2"/>
  <c r="AU12" i="2"/>
  <c r="AU14" i="2"/>
  <c r="B12" i="2"/>
  <c r="B14" i="2"/>
  <c r="AV14" i="2"/>
  <c r="AZ14" i="2"/>
  <c r="AY12" i="1"/>
  <c r="AY14" i="1"/>
  <c r="D12" i="1"/>
  <c r="D14" i="1"/>
  <c r="E12" i="1"/>
  <c r="F12" i="1"/>
  <c r="F14" i="1"/>
  <c r="G12" i="1"/>
  <c r="G14" i="1"/>
  <c r="H12" i="1"/>
  <c r="H14" i="1"/>
  <c r="I12" i="1"/>
  <c r="I14" i="1"/>
  <c r="J12" i="1"/>
  <c r="J14" i="1"/>
  <c r="K12" i="1"/>
  <c r="K14" i="1"/>
  <c r="L12" i="1"/>
  <c r="L14" i="1"/>
  <c r="M12" i="1"/>
  <c r="M14" i="1"/>
  <c r="N12" i="1"/>
  <c r="N14" i="1"/>
  <c r="O12" i="1"/>
  <c r="O14" i="1"/>
  <c r="R12" i="1"/>
  <c r="R14" i="1"/>
  <c r="S12" i="1"/>
  <c r="S14" i="1"/>
  <c r="T12" i="1"/>
  <c r="T14" i="1"/>
  <c r="U12" i="1"/>
  <c r="U14" i="1"/>
  <c r="V12" i="1"/>
  <c r="V14" i="1"/>
  <c r="W12" i="1"/>
  <c r="W14" i="1"/>
  <c r="X12" i="1"/>
  <c r="X14" i="1"/>
  <c r="Y12" i="1"/>
  <c r="Y14" i="1"/>
  <c r="Z12" i="1"/>
  <c r="Z14" i="1"/>
  <c r="AA12" i="1"/>
  <c r="AA14" i="1"/>
  <c r="P12" i="1"/>
  <c r="P14" i="1"/>
  <c r="Q12" i="1"/>
  <c r="Q14" i="1"/>
  <c r="AD12" i="1"/>
  <c r="AD14" i="1"/>
  <c r="AE12" i="1"/>
  <c r="AE14" i="1"/>
  <c r="AF12" i="1"/>
  <c r="AF14" i="1"/>
  <c r="AG12" i="1"/>
  <c r="AG14" i="1"/>
  <c r="AH12" i="1"/>
  <c r="AH14" i="1"/>
  <c r="AI12" i="1"/>
  <c r="AI14" i="1"/>
  <c r="AJ12" i="1"/>
  <c r="AJ14" i="1"/>
  <c r="AK12" i="1"/>
  <c r="AK14" i="1"/>
  <c r="AL12" i="1"/>
  <c r="AL14" i="1"/>
  <c r="AM12" i="1"/>
  <c r="AM14" i="1"/>
  <c r="AN12" i="1"/>
  <c r="AN14" i="1"/>
  <c r="AO12" i="1"/>
  <c r="AO14" i="1"/>
  <c r="AP12" i="1"/>
  <c r="AP14" i="1"/>
  <c r="AQ12" i="1"/>
  <c r="AQ14" i="1"/>
  <c r="AR12" i="1"/>
  <c r="AR14" i="1"/>
  <c r="AS12" i="1"/>
  <c r="AS14" i="1"/>
  <c r="AT12" i="1"/>
  <c r="AT14" i="1"/>
  <c r="AU12" i="1"/>
  <c r="AU14" i="1"/>
  <c r="C12" i="1"/>
  <c r="C14" i="1"/>
  <c r="B12" i="1"/>
  <c r="AV12" i="1"/>
  <c r="AZ12" i="1"/>
  <c r="AP34" i="6"/>
  <c r="AP36" i="6"/>
  <c r="AP38" i="6"/>
  <c r="AQ34" i="6"/>
  <c r="AQ36" i="6"/>
  <c r="AQ38" i="6"/>
  <c r="AM34" i="6"/>
  <c r="AN34" i="6"/>
  <c r="AN36" i="6"/>
  <c r="AN38" i="6"/>
  <c r="AO34" i="6"/>
  <c r="AO36" i="6"/>
  <c r="AO38" i="6"/>
  <c r="AL34" i="6"/>
  <c r="AN29" i="7"/>
  <c r="AO29" i="7"/>
  <c r="AP26" i="11"/>
  <c r="AQ26" i="11"/>
  <c r="AV15" i="9"/>
  <c r="AZ15" i="9"/>
  <c r="AV12" i="9"/>
  <c r="AZ12" i="9"/>
  <c r="AV11" i="9"/>
  <c r="AZ11" i="9"/>
  <c r="AV10" i="9"/>
  <c r="AZ10" i="9"/>
  <c r="AV8" i="9"/>
  <c r="AZ8" i="9"/>
  <c r="AV7" i="9"/>
  <c r="AZ7" i="9"/>
  <c r="AV6" i="9"/>
  <c r="AZ6" i="9"/>
  <c r="AV5" i="9"/>
  <c r="AZ5" i="9"/>
  <c r="AU40" i="11"/>
  <c r="AT40" i="11"/>
  <c r="AM40" i="11"/>
  <c r="AL40" i="11"/>
  <c r="AJ40" i="11"/>
  <c r="AH40" i="11"/>
  <c r="AE40" i="11"/>
  <c r="AD40" i="11"/>
  <c r="O40" i="11"/>
  <c r="N40" i="11"/>
  <c r="G40" i="11"/>
  <c r="F40" i="11"/>
  <c r="E40" i="11"/>
  <c r="D40" i="11"/>
  <c r="C40" i="11"/>
  <c r="B40" i="11"/>
  <c r="AW38" i="11"/>
  <c r="BA38" i="11"/>
  <c r="AV38" i="11"/>
  <c r="AZ38" i="11"/>
  <c r="AW37" i="11"/>
  <c r="BA37" i="11"/>
  <c r="AV37" i="11"/>
  <c r="AZ37" i="11"/>
  <c r="AW36" i="11"/>
  <c r="BA36" i="11"/>
  <c r="AV36" i="11"/>
  <c r="AZ36" i="11"/>
  <c r="AW35" i="11"/>
  <c r="BA35" i="11"/>
  <c r="AV35" i="11"/>
  <c r="AZ35" i="11"/>
  <c r="AW34" i="11"/>
  <c r="BA34" i="11"/>
  <c r="AV34" i="11"/>
  <c r="AZ34" i="11"/>
  <c r="AW33" i="11"/>
  <c r="BA33" i="11"/>
  <c r="AV33" i="11"/>
  <c r="AZ33" i="11"/>
  <c r="AW31" i="11"/>
  <c r="BA31" i="11"/>
  <c r="AV31" i="11"/>
  <c r="AZ31" i="11"/>
  <c r="AW30" i="11"/>
  <c r="BA30" i="11"/>
  <c r="AV30" i="11"/>
  <c r="AZ30" i="11"/>
  <c r="AW28" i="11"/>
  <c r="BA28" i="11"/>
  <c r="AV28" i="11"/>
  <c r="AZ28" i="11"/>
  <c r="AY26" i="11"/>
  <c r="AX26" i="11"/>
  <c r="AT26" i="11"/>
  <c r="AO26" i="11"/>
  <c r="AN26" i="11"/>
  <c r="AM26" i="11"/>
  <c r="AL26" i="11"/>
  <c r="AJ26" i="11"/>
  <c r="AH26" i="11"/>
  <c r="AE26" i="11"/>
  <c r="AD26" i="11"/>
  <c r="AB26" i="11"/>
  <c r="Z26" i="11"/>
  <c r="X26" i="11"/>
  <c r="W26" i="11"/>
  <c r="V26" i="11"/>
  <c r="T26" i="11"/>
  <c r="S26" i="11"/>
  <c r="R26" i="11"/>
  <c r="Q26" i="11"/>
  <c r="P26" i="11"/>
  <c r="N26" i="11"/>
  <c r="K26" i="11"/>
  <c r="J26" i="11"/>
  <c r="I26" i="11"/>
  <c r="H26" i="11"/>
  <c r="G26" i="11"/>
  <c r="F26" i="11"/>
  <c r="E26" i="11"/>
  <c r="D26" i="11"/>
  <c r="C26" i="11"/>
  <c r="AW26" i="11"/>
  <c r="BA26" i="11"/>
  <c r="B26" i="11"/>
  <c r="AW24" i="11"/>
  <c r="BA24" i="11"/>
  <c r="AV24" i="11"/>
  <c r="AZ24" i="11"/>
  <c r="AW23" i="11"/>
  <c r="BA23" i="11"/>
  <c r="AV23" i="11"/>
  <c r="AZ23" i="11"/>
  <c r="AW22" i="11"/>
  <c r="BA22" i="11"/>
  <c r="AV22" i="11"/>
  <c r="AZ22" i="11"/>
  <c r="AW20" i="11"/>
  <c r="BA20" i="11"/>
  <c r="AV20" i="11"/>
  <c r="AZ20" i="11"/>
  <c r="AW19" i="11"/>
  <c r="BA19" i="11"/>
  <c r="AV19" i="11"/>
  <c r="AZ19" i="11"/>
  <c r="AV18" i="11"/>
  <c r="AZ18" i="11"/>
  <c r="AW17" i="11"/>
  <c r="BA17" i="11"/>
  <c r="AV17" i="11"/>
  <c r="AZ17" i="11"/>
  <c r="AW16" i="11"/>
  <c r="BA16" i="11"/>
  <c r="AV16" i="11"/>
  <c r="AZ16" i="11"/>
  <c r="AW15" i="11"/>
  <c r="BA15" i="11"/>
  <c r="AV15" i="11"/>
  <c r="AZ15" i="11"/>
  <c r="AW14" i="11"/>
  <c r="BA14" i="11"/>
  <c r="AV14" i="11"/>
  <c r="AZ14" i="11"/>
  <c r="AY12" i="11"/>
  <c r="AX12" i="11"/>
  <c r="AU12" i="11"/>
  <c r="AT12" i="11"/>
  <c r="AS12" i="11"/>
  <c r="AR12" i="11"/>
  <c r="AQ12" i="11"/>
  <c r="AP12" i="11"/>
  <c r="AO12" i="11"/>
  <c r="AN12" i="11"/>
  <c r="AM12" i="11"/>
  <c r="AL12" i="11"/>
  <c r="AK12" i="11"/>
  <c r="AJ12" i="11"/>
  <c r="AI12" i="11"/>
  <c r="AH12" i="11"/>
  <c r="AE12" i="11"/>
  <c r="AD12" i="11"/>
  <c r="AC12" i="11"/>
  <c r="AB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K12" i="11"/>
  <c r="J12" i="11"/>
  <c r="I12" i="11"/>
  <c r="H12" i="11"/>
  <c r="G12" i="11"/>
  <c r="F12" i="11"/>
  <c r="E12" i="11"/>
  <c r="D12" i="11"/>
  <c r="C12" i="11"/>
  <c r="B12" i="11"/>
  <c r="AV10" i="11"/>
  <c r="AZ10" i="11"/>
  <c r="AW9" i="11"/>
  <c r="BA9" i="11"/>
  <c r="AV9" i="11"/>
  <c r="AZ9" i="11"/>
  <c r="AW8" i="11"/>
  <c r="BA8" i="11"/>
  <c r="AV8" i="11"/>
  <c r="AZ8" i="11"/>
  <c r="AW7" i="11"/>
  <c r="BA7" i="11"/>
  <c r="AV7" i="11"/>
  <c r="AZ7" i="11"/>
  <c r="AW6" i="11"/>
  <c r="BA6" i="11"/>
  <c r="AV6" i="11"/>
  <c r="AZ6" i="11"/>
  <c r="AV5" i="11"/>
  <c r="AZ5" i="11"/>
  <c r="AK40" i="11"/>
  <c r="AW39" i="8"/>
  <c r="BA39" i="8"/>
  <c r="AV39" i="8"/>
  <c r="AZ39" i="8"/>
  <c r="AW37" i="8"/>
  <c r="BA37" i="8"/>
  <c r="AV37" i="8"/>
  <c r="AZ37" i="8"/>
  <c r="AW35" i="8"/>
  <c r="BA35" i="8"/>
  <c r="AV35" i="8"/>
  <c r="AZ35" i="8"/>
  <c r="AW34" i="8"/>
  <c r="BA34" i="8"/>
  <c r="AV34" i="8"/>
  <c r="AZ34" i="8"/>
  <c r="AW32" i="8"/>
  <c r="BA32" i="8"/>
  <c r="AV32" i="8"/>
  <c r="AZ32" i="8"/>
  <c r="AV31" i="8"/>
  <c r="AZ31" i="8"/>
  <c r="AW30" i="8"/>
  <c r="BA30" i="8"/>
  <c r="AV30" i="8"/>
  <c r="AZ30" i="8"/>
  <c r="AW29" i="8"/>
  <c r="BA29" i="8"/>
  <c r="AV29" i="8"/>
  <c r="AZ29" i="8"/>
  <c r="AW27" i="8"/>
  <c r="BA27" i="8"/>
  <c r="AV27" i="8"/>
  <c r="AZ27" i="8"/>
  <c r="AW25" i="8"/>
  <c r="BA25" i="8"/>
  <c r="AV25" i="8"/>
  <c r="AZ25" i="8"/>
  <c r="AV24" i="8"/>
  <c r="AZ24" i="8"/>
  <c r="AW23" i="8"/>
  <c r="BA23" i="8"/>
  <c r="AV23" i="8"/>
  <c r="AZ23" i="8"/>
  <c r="AW22" i="8"/>
  <c r="BA22" i="8"/>
  <c r="AV22" i="8"/>
  <c r="AZ22" i="8"/>
  <c r="AW21" i="8"/>
  <c r="BA21" i="8"/>
  <c r="AV21" i="8"/>
  <c r="AZ21" i="8"/>
  <c r="AW20" i="8"/>
  <c r="BA20" i="8"/>
  <c r="AV20" i="8"/>
  <c r="AZ20" i="8"/>
  <c r="AW19" i="8"/>
  <c r="BA19" i="8"/>
  <c r="AV19" i="8"/>
  <c r="AZ19" i="8"/>
  <c r="AW18" i="8"/>
  <c r="BA18" i="8"/>
  <c r="AV18" i="8"/>
  <c r="AZ18" i="8"/>
  <c r="AW17" i="8"/>
  <c r="BA17" i="8"/>
  <c r="AV17" i="8"/>
  <c r="AZ17" i="8"/>
  <c r="AW16" i="8"/>
  <c r="BA16" i="8"/>
  <c r="AV16" i="8"/>
  <c r="AZ16" i="8"/>
  <c r="AW15" i="8"/>
  <c r="BA15" i="8"/>
  <c r="AV15" i="8"/>
  <c r="AZ15" i="8"/>
  <c r="AW14" i="8"/>
  <c r="BA14" i="8"/>
  <c r="AV14" i="8"/>
  <c r="AZ14" i="8"/>
  <c r="AW13" i="8"/>
  <c r="BA13" i="8"/>
  <c r="AV13" i="8"/>
  <c r="AZ13" i="8"/>
  <c r="AV12" i="8"/>
  <c r="AZ12" i="8"/>
  <c r="AV11" i="8"/>
  <c r="AZ11" i="8"/>
  <c r="AW10" i="8"/>
  <c r="BA10" i="8"/>
  <c r="AV10" i="8"/>
  <c r="AZ10" i="8"/>
  <c r="AW7" i="8"/>
  <c r="BA7" i="8"/>
  <c r="AV7" i="8"/>
  <c r="AZ7" i="8"/>
  <c r="AW6" i="8"/>
  <c r="BA6" i="8"/>
  <c r="AV6" i="8"/>
  <c r="AZ6" i="8"/>
  <c r="AW5" i="8"/>
  <c r="BA5" i="8"/>
  <c r="AV5" i="8"/>
  <c r="AZ5" i="8"/>
  <c r="AY29" i="7"/>
  <c r="AX29" i="7"/>
  <c r="AU29" i="7"/>
  <c r="AT29" i="7"/>
  <c r="AS29" i="7"/>
  <c r="AR29" i="7"/>
  <c r="AQ29" i="7"/>
  <c r="AP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T29" i="7"/>
  <c r="S29" i="7"/>
  <c r="R29" i="7"/>
  <c r="Q29" i="7"/>
  <c r="P29" i="7"/>
  <c r="O29" i="7"/>
  <c r="N29" i="7"/>
  <c r="M29" i="7"/>
  <c r="L29" i="7"/>
  <c r="K29" i="7"/>
  <c r="J29" i="7"/>
  <c r="H29" i="7"/>
  <c r="G29" i="7"/>
  <c r="F29" i="7"/>
  <c r="E29" i="7"/>
  <c r="D29" i="7"/>
  <c r="C29" i="7"/>
  <c r="B29" i="7"/>
  <c r="AV29" i="7"/>
  <c r="AZ29" i="7"/>
  <c r="AW28" i="7"/>
  <c r="BA28" i="7"/>
  <c r="AV28" i="7"/>
  <c r="AZ28" i="7"/>
  <c r="AW26" i="7"/>
  <c r="BA26" i="7"/>
  <c r="AV26" i="7"/>
  <c r="AZ26" i="7"/>
  <c r="AW25" i="7"/>
  <c r="BA25" i="7"/>
  <c r="AV25" i="7"/>
  <c r="AZ25" i="7"/>
  <c r="AW24" i="7"/>
  <c r="BA24" i="7"/>
  <c r="AV24" i="7"/>
  <c r="AZ24" i="7"/>
  <c r="AW23" i="7"/>
  <c r="BA23" i="7"/>
  <c r="AV23" i="7"/>
  <c r="AZ23" i="7"/>
  <c r="AW22" i="7"/>
  <c r="BA22" i="7"/>
  <c r="AV22" i="7"/>
  <c r="AZ22" i="7"/>
  <c r="AW21" i="7"/>
  <c r="BA21" i="7"/>
  <c r="AV21" i="7"/>
  <c r="AZ21" i="7"/>
  <c r="AW20" i="7"/>
  <c r="BA20" i="7"/>
  <c r="AV20" i="7"/>
  <c r="AZ20" i="7"/>
  <c r="AW19" i="7"/>
  <c r="BA19" i="7"/>
  <c r="AV19" i="7"/>
  <c r="AZ19" i="7"/>
  <c r="AW18" i="7"/>
  <c r="BA18" i="7"/>
  <c r="AV18" i="7"/>
  <c r="AZ18" i="7"/>
  <c r="AW17" i="7"/>
  <c r="BA17" i="7"/>
  <c r="AV17" i="7"/>
  <c r="AZ17" i="7"/>
  <c r="AW16" i="7"/>
  <c r="BA16" i="7"/>
  <c r="AV16" i="7"/>
  <c r="AZ16" i="7"/>
  <c r="AW12" i="7"/>
  <c r="BA12" i="7"/>
  <c r="AV12" i="7"/>
  <c r="AZ12" i="7"/>
  <c r="AW11" i="7"/>
  <c r="BA11" i="7"/>
  <c r="AV11" i="7"/>
  <c r="AZ11" i="7"/>
  <c r="AW8" i="7"/>
  <c r="BA8" i="7"/>
  <c r="AV8" i="7"/>
  <c r="AZ8" i="7"/>
  <c r="AW7" i="7"/>
  <c r="BA7" i="7"/>
  <c r="AV7" i="7"/>
  <c r="AZ7" i="7"/>
  <c r="AW6" i="7"/>
  <c r="BA6" i="7"/>
  <c r="AV6" i="7"/>
  <c r="AZ6" i="7"/>
  <c r="AM38" i="6"/>
  <c r="AL38" i="6"/>
  <c r="X38" i="6"/>
  <c r="AK34" i="6"/>
  <c r="AK36" i="6"/>
  <c r="AK38" i="6"/>
  <c r="AJ34" i="6"/>
  <c r="AJ36" i="6"/>
  <c r="AJ38" i="6"/>
  <c r="AI34" i="6"/>
  <c r="AI36" i="6"/>
  <c r="AI38" i="6"/>
  <c r="AH34" i="6"/>
  <c r="AH36" i="6"/>
  <c r="AH38" i="6"/>
  <c r="AG34" i="6"/>
  <c r="AG36" i="6"/>
  <c r="AG38" i="6"/>
  <c r="AF34" i="6"/>
  <c r="AF36" i="6"/>
  <c r="AF38" i="6"/>
  <c r="AE34" i="6"/>
  <c r="AE36" i="6"/>
  <c r="AE38" i="6"/>
  <c r="AD34" i="6"/>
  <c r="AD36" i="6"/>
  <c r="AD38" i="6"/>
  <c r="AC34" i="6"/>
  <c r="AC36" i="6"/>
  <c r="AC38" i="6"/>
  <c r="AB34" i="6"/>
  <c r="AB36" i="6"/>
  <c r="AB38" i="6"/>
  <c r="AA34" i="6"/>
  <c r="AA36" i="6"/>
  <c r="AA38" i="6"/>
  <c r="Z34" i="6"/>
  <c r="Z36" i="6"/>
  <c r="Z38" i="6"/>
  <c r="Y34" i="6"/>
  <c r="X34" i="6"/>
  <c r="W34" i="6"/>
  <c r="W36" i="6"/>
  <c r="W38" i="6"/>
  <c r="V34" i="6"/>
  <c r="V36" i="6"/>
  <c r="V38" i="6"/>
  <c r="S34" i="6"/>
  <c r="S36" i="6"/>
  <c r="S38" i="6"/>
  <c r="R34" i="6"/>
  <c r="R36" i="6"/>
  <c r="R38" i="6"/>
  <c r="Q34" i="6"/>
  <c r="Q36" i="6"/>
  <c r="Q38" i="6"/>
  <c r="P34" i="6"/>
  <c r="P36" i="6"/>
  <c r="P38" i="6"/>
  <c r="O34" i="6"/>
  <c r="O36" i="6"/>
  <c r="O38" i="6"/>
  <c r="N34" i="6"/>
  <c r="N36" i="6"/>
  <c r="N38" i="6"/>
  <c r="M34" i="6"/>
  <c r="M36" i="6"/>
  <c r="M38" i="6"/>
  <c r="L34" i="6"/>
  <c r="L36" i="6"/>
  <c r="L38" i="6"/>
  <c r="K34" i="6"/>
  <c r="K36" i="6"/>
  <c r="K38" i="6"/>
  <c r="J34" i="6"/>
  <c r="J36" i="6"/>
  <c r="J38" i="6"/>
  <c r="I34" i="6"/>
  <c r="I36" i="6"/>
  <c r="I38" i="6"/>
  <c r="H34" i="6"/>
  <c r="H36" i="6"/>
  <c r="H38" i="6"/>
  <c r="G34" i="6"/>
  <c r="G36" i="6"/>
  <c r="G38" i="6"/>
  <c r="F34" i="6"/>
  <c r="F36" i="6"/>
  <c r="F38" i="6"/>
  <c r="E34" i="6"/>
  <c r="E36" i="6"/>
  <c r="D34" i="6"/>
  <c r="C34" i="6"/>
  <c r="C36" i="6"/>
  <c r="B34" i="6"/>
  <c r="B36" i="6"/>
  <c r="AW30" i="6"/>
  <c r="BA30" i="6"/>
  <c r="AV30" i="6"/>
  <c r="AZ30" i="6"/>
  <c r="AW28" i="6"/>
  <c r="BA28" i="6"/>
  <c r="AV28" i="6"/>
  <c r="AZ28" i="6"/>
  <c r="AW27" i="6"/>
  <c r="BA27" i="6"/>
  <c r="AV27" i="6"/>
  <c r="AZ27" i="6"/>
  <c r="AW24" i="6"/>
  <c r="BA24" i="6"/>
  <c r="AV24" i="6"/>
  <c r="AZ24" i="6"/>
  <c r="AW21" i="6"/>
  <c r="BA21" i="6"/>
  <c r="AV21" i="6"/>
  <c r="AZ21" i="6"/>
  <c r="AW20" i="6"/>
  <c r="BA20" i="6"/>
  <c r="AV20" i="6"/>
  <c r="AZ20" i="6"/>
  <c r="AW19" i="6"/>
  <c r="BA19" i="6"/>
  <c r="AV19" i="6"/>
  <c r="AZ19" i="6"/>
  <c r="AW18" i="6"/>
  <c r="BA18" i="6"/>
  <c r="AV18" i="6"/>
  <c r="AZ18" i="6"/>
  <c r="AW17" i="6"/>
  <c r="BA17" i="6"/>
  <c r="AV17" i="6"/>
  <c r="AZ17" i="6"/>
  <c r="AZ16" i="6"/>
  <c r="AW15" i="6"/>
  <c r="BA15" i="6"/>
  <c r="AV15" i="6"/>
  <c r="AW14" i="6"/>
  <c r="BA14" i="6"/>
  <c r="AV14" i="6"/>
  <c r="AZ14" i="6"/>
  <c r="AW13" i="6"/>
  <c r="BA13" i="6"/>
  <c r="AV13" i="6"/>
  <c r="AZ13" i="6"/>
  <c r="AW12" i="6"/>
  <c r="BA12" i="6"/>
  <c r="AV12" i="6"/>
  <c r="AZ12" i="6"/>
  <c r="AW11" i="6"/>
  <c r="BA11" i="6"/>
  <c r="AV11" i="6"/>
  <c r="AZ11" i="6"/>
  <c r="AW8" i="6"/>
  <c r="BA8" i="6"/>
  <c r="AV8" i="6"/>
  <c r="AZ8" i="6"/>
  <c r="AW7" i="6"/>
  <c r="BA7" i="6"/>
  <c r="AV7" i="6"/>
  <c r="AZ7" i="6"/>
  <c r="AW6" i="6"/>
  <c r="BA6" i="6"/>
  <c r="AV6" i="6"/>
  <c r="AZ6" i="6"/>
  <c r="AW9" i="5"/>
  <c r="BA9" i="5"/>
  <c r="AW8" i="5"/>
  <c r="BA8" i="5"/>
  <c r="AW7" i="5"/>
  <c r="BA7" i="5"/>
  <c r="AW17" i="4"/>
  <c r="BA17" i="4"/>
  <c r="AV17" i="4"/>
  <c r="AZ17" i="4"/>
  <c r="AV5" i="4"/>
  <c r="AZ5" i="4"/>
  <c r="AV17" i="3"/>
  <c r="AZ17" i="3"/>
  <c r="AV5" i="3"/>
  <c r="AZ5" i="3"/>
  <c r="AV9" i="9"/>
  <c r="AZ9" i="9"/>
  <c r="AV14" i="9"/>
  <c r="AV16" i="9"/>
  <c r="AW10" i="11"/>
  <c r="BA10" i="11"/>
  <c r="AG12" i="11"/>
  <c r="AW5" i="11"/>
  <c r="BA5" i="11"/>
  <c r="M12" i="11"/>
  <c r="M40" i="11"/>
  <c r="AW40" i="11"/>
  <c r="V14" i="22"/>
  <c r="Y8" i="23"/>
  <c r="AA8" i="23"/>
  <c r="AO51" i="25"/>
  <c r="B51" i="25"/>
  <c r="AV51" i="25"/>
  <c r="AZ51" i="25"/>
  <c r="AV27" i="25"/>
  <c r="AZ27" i="25"/>
  <c r="AV56" i="25"/>
  <c r="AZ56" i="25"/>
  <c r="AV6" i="22"/>
  <c r="AZ6" i="22"/>
  <c r="AO13" i="7"/>
  <c r="AO15" i="7"/>
  <c r="AP13" i="7"/>
  <c r="AP15" i="7"/>
  <c r="AF13" i="7"/>
  <c r="AS13" i="7"/>
  <c r="X13" i="7"/>
  <c r="AJ13" i="7"/>
  <c r="AC13" i="7"/>
  <c r="Z13" i="7"/>
  <c r="U13" i="7"/>
  <c r="J13" i="7"/>
  <c r="AU13" i="7"/>
  <c r="AU15" i="7"/>
  <c r="N13" i="7"/>
  <c r="AK13" i="7"/>
  <c r="AR13" i="7"/>
  <c r="AX13" i="7"/>
  <c r="L13" i="7"/>
  <c r="AE13" i="7"/>
  <c r="AW13" i="7"/>
  <c r="BA13" i="7"/>
  <c r="Y13" i="7"/>
  <c r="AG13" i="7"/>
  <c r="C13" i="7"/>
  <c r="AU12" i="5"/>
  <c r="D12" i="5"/>
  <c r="T12" i="5"/>
  <c r="U12" i="5"/>
  <c r="AH12" i="5"/>
  <c r="AS14" i="5"/>
  <c r="AX14" i="5"/>
  <c r="X14" i="5"/>
  <c r="AN14" i="5"/>
  <c r="L14" i="5"/>
  <c r="AM14" i="5"/>
  <c r="AL12" i="5"/>
  <c r="AF14" i="5"/>
  <c r="AG14" i="5"/>
  <c r="F12" i="5"/>
  <c r="O14" i="5"/>
  <c r="AT12" i="5"/>
  <c r="AB12" i="5"/>
  <c r="R14" i="5"/>
  <c r="Y12" i="5"/>
  <c r="AV10" i="5"/>
  <c r="AZ10" i="5"/>
  <c r="Z12" i="5"/>
  <c r="AD14" i="5"/>
  <c r="AR12" i="5"/>
  <c r="AR14" i="5"/>
  <c r="AO14" i="5"/>
  <c r="H14" i="5"/>
  <c r="H12" i="5"/>
  <c r="N12" i="5"/>
  <c r="N14" i="5"/>
  <c r="AJ12" i="5"/>
  <c r="AJ14" i="5"/>
  <c r="J12" i="5"/>
  <c r="J14" i="5"/>
  <c r="K14" i="5"/>
  <c r="R40" i="11"/>
  <c r="AR40" i="11"/>
  <c r="AR26" i="11"/>
  <c r="AV21" i="11"/>
  <c r="AZ21" i="11"/>
  <c r="P40" i="11"/>
  <c r="AV11" i="11"/>
  <c r="AZ11" i="11"/>
  <c r="AV32" i="11"/>
  <c r="AZ32" i="11"/>
  <c r="AZ40" i="11"/>
  <c r="H27" i="11"/>
  <c r="J40" i="11"/>
  <c r="AV40" i="11"/>
  <c r="AV12" i="5"/>
  <c r="AZ12" i="5"/>
  <c r="AV14" i="5"/>
  <c r="AZ14" i="5"/>
  <c r="AV27" i="11"/>
  <c r="AZ27" i="11"/>
  <c r="W38" i="8"/>
  <c r="AW38" i="8"/>
  <c r="BA38" i="8"/>
  <c r="AD38" i="8"/>
  <c r="AX38" i="8"/>
  <c r="Z38" i="8"/>
  <c r="AE38" i="8"/>
  <c r="AW26" i="8"/>
  <c r="BA26" i="8"/>
  <c r="X38" i="8"/>
  <c r="AW28" i="8"/>
  <c r="BA28" i="8"/>
  <c r="AV33" i="8"/>
  <c r="AZ33" i="8"/>
  <c r="AJ38" i="8"/>
  <c r="J38" i="8"/>
  <c r="T38" i="8"/>
  <c r="AV9" i="8"/>
  <c r="AZ9" i="8"/>
  <c r="AW9" i="8"/>
  <c r="BA9" i="8"/>
  <c r="AV8" i="8"/>
  <c r="AZ8" i="8"/>
  <c r="AF38" i="8"/>
  <c r="V38" i="8"/>
  <c r="R38" i="8"/>
  <c r="B38" i="8"/>
  <c r="AV38" i="8"/>
  <c r="AZ38" i="8"/>
  <c r="K38" i="8"/>
  <c r="AV26" i="8"/>
  <c r="AZ26" i="8"/>
  <c r="AX34" i="6"/>
  <c r="AX36" i="6"/>
  <c r="AX38" i="6"/>
  <c r="AR34" i="6"/>
  <c r="AR36" i="6"/>
  <c r="AR38" i="6"/>
  <c r="T34" i="6"/>
  <c r="T36" i="6"/>
  <c r="T38" i="6"/>
  <c r="AV22" i="6"/>
  <c r="AZ22" i="6"/>
  <c r="AZ15" i="6"/>
  <c r="U34" i="6"/>
  <c r="U36" i="6"/>
  <c r="U38" i="6"/>
  <c r="AV10" i="6"/>
  <c r="AZ10" i="6"/>
  <c r="AV16" i="3"/>
  <c r="AZ16" i="3"/>
  <c r="B18" i="4"/>
  <c r="B14" i="1"/>
  <c r="AV14" i="1"/>
  <c r="AZ14" i="1"/>
  <c r="V12" i="5"/>
  <c r="AV19" i="25"/>
  <c r="AZ19" i="25"/>
  <c r="AV16" i="4"/>
  <c r="AZ16" i="4"/>
  <c r="AW24" i="8"/>
  <c r="BA24" i="8"/>
  <c r="C51" i="25"/>
  <c r="AW51" i="25"/>
  <c r="BA51" i="25"/>
  <c r="C12" i="5"/>
  <c r="I27" i="11"/>
  <c r="AW27" i="11"/>
  <c r="BA27" i="11"/>
  <c r="G14" i="5"/>
  <c r="E14" i="1"/>
  <c r="E38" i="6"/>
  <c r="E14" i="5"/>
  <c r="AW14" i="5"/>
  <c r="BA14" i="5"/>
  <c r="E12" i="5"/>
  <c r="K18" i="3"/>
  <c r="AS26" i="11"/>
  <c r="AF26" i="11"/>
  <c r="AV26" i="11"/>
  <c r="AZ26" i="11"/>
  <c r="AW11" i="11"/>
  <c r="BA11" i="11"/>
  <c r="AW13" i="11"/>
  <c r="BA13" i="11"/>
  <c r="S40" i="11"/>
  <c r="AW18" i="11"/>
  <c r="BA18" i="11"/>
  <c r="AK14" i="5"/>
  <c r="AE14" i="5"/>
  <c r="AA12" i="5"/>
  <c r="W12" i="5"/>
  <c r="S14" i="5"/>
  <c r="Q12" i="5"/>
  <c r="AW10" i="5"/>
  <c r="AW12" i="2"/>
  <c r="BA12" i="2"/>
  <c r="M13" i="7"/>
  <c r="M12" i="5"/>
  <c r="AW12" i="5"/>
  <c r="BA12" i="5"/>
  <c r="M14" i="5"/>
  <c r="M51" i="25"/>
  <c r="AW16" i="3"/>
  <c r="BA16" i="3"/>
  <c r="AW16" i="4"/>
  <c r="BA16" i="4"/>
  <c r="M14" i="2"/>
  <c r="AW12" i="1"/>
  <c r="BA12" i="1"/>
  <c r="AW5" i="25"/>
  <c r="BA5" i="25"/>
  <c r="AW66" i="25"/>
  <c r="BA66" i="25"/>
  <c r="AW50" i="25"/>
  <c r="Q51" i="25"/>
  <c r="S38" i="8"/>
  <c r="AW12" i="11"/>
  <c r="BA12" i="11"/>
  <c r="AW29" i="7"/>
  <c r="BA29" i="7"/>
  <c r="AC12" i="5"/>
  <c r="AZ14" i="9"/>
  <c r="AV12" i="11"/>
  <c r="AZ12" i="11"/>
  <c r="I14" i="5"/>
  <c r="AI14" i="5"/>
  <c r="AV50" i="25"/>
  <c r="AZ50" i="25"/>
  <c r="P12" i="5"/>
  <c r="D36" i="6"/>
  <c r="D38" i="6"/>
  <c r="D14" i="2"/>
  <c r="AW10" i="7"/>
  <c r="BA10" i="7"/>
  <c r="AV10" i="7"/>
  <c r="AZ10" i="7"/>
  <c r="AV66" i="25"/>
  <c r="AZ66" i="25"/>
  <c r="BA10" i="5"/>
  <c r="BA50" i="25"/>
  <c r="AW36" i="8"/>
  <c r="BA36" i="8"/>
  <c r="AK38" i="8"/>
  <c r="AG38" i="8"/>
  <c r="AA38" i="8"/>
  <c r="AW14" i="22"/>
  <c r="BA14" i="22"/>
  <c r="AW6" i="22"/>
  <c r="BA6" i="22"/>
  <c r="AU34" i="6"/>
  <c r="AU36" i="6"/>
  <c r="AU38" i="6"/>
  <c r="AS34" i="6"/>
  <c r="AS36" i="6"/>
  <c r="AS38" i="6"/>
  <c r="BA16" i="9"/>
  <c r="AW16" i="9"/>
  <c r="EP7" i="24"/>
  <c r="AW34" i="6"/>
  <c r="BA34" i="6"/>
  <c r="AW36" i="6"/>
  <c r="BA36" i="6"/>
  <c r="C38" i="6"/>
  <c r="AW38" i="6"/>
  <c r="BA38" i="6"/>
  <c r="AZ16" i="9"/>
  <c r="AW14" i="1"/>
  <c r="BA14" i="1"/>
  <c r="AV36" i="6"/>
  <c r="AZ36" i="6"/>
  <c r="B38" i="6"/>
  <c r="AV38" i="6"/>
  <c r="AZ38" i="6"/>
  <c r="AW14" i="2"/>
  <c r="BA14" i="2"/>
  <c r="AW18" i="4"/>
  <c r="BA18" i="4"/>
  <c r="AV12" i="2"/>
  <c r="AZ12" i="2"/>
  <c r="AV34" i="6"/>
  <c r="AZ34" i="6"/>
  <c r="BA40" i="11"/>
  <c r="AV14" i="22"/>
  <c r="AZ14" i="22"/>
  <c r="AV10" i="25"/>
  <c r="AZ10" i="25"/>
  <c r="EU7" i="24"/>
</calcChain>
</file>

<file path=xl/sharedStrings.xml><?xml version="1.0" encoding="utf-8"?>
<sst xmlns="http://schemas.openxmlformats.org/spreadsheetml/2006/main" count="1746" uniqueCount="390">
  <si>
    <t>Particulars</t>
  </si>
  <si>
    <t>Private Total</t>
  </si>
  <si>
    <t>Grand Total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</si>
  <si>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</si>
  <si>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</si>
  <si>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</si>
  <si>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</si>
  <si>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</si>
  <si>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</si>
  <si>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Others (only)</t>
  </si>
  <si>
    <t>Total(A)</t>
  </si>
  <si>
    <t>Referral  (B)</t>
  </si>
  <si>
    <t>Grand Total (A+B)</t>
  </si>
  <si>
    <t>L37:BUSINESS ACQUISITION THROUGH DIFFERENT CHANNELS (GROUP) Lives</t>
  </si>
  <si>
    <t>Channels</t>
  </si>
  <si>
    <t>CSC</t>
  </si>
  <si>
    <t>POS</t>
  </si>
  <si>
    <t>IMF</t>
  </si>
  <si>
    <t>Online</t>
  </si>
  <si>
    <t>Web Aggregators</t>
  </si>
  <si>
    <t>Total (A)</t>
  </si>
  <si>
    <t>Premiums earned - Net</t>
  </si>
  <si>
    <t>(a) Premium</t>
  </si>
  <si>
    <t>Direct   -  First year premiums</t>
  </si>
  <si>
    <t xml:space="preserve">           -  Renewal premiums</t>
  </si>
  <si>
    <t xml:space="preserve">           -  Single premiums</t>
  </si>
  <si>
    <t>Total premium</t>
  </si>
  <si>
    <t>Premium Income from business written:</t>
  </si>
  <si>
    <t>- In India</t>
  </si>
  <si>
    <t>- Outside India</t>
  </si>
  <si>
    <t>Insurance claims</t>
  </si>
  <si>
    <t>(a) Claims by death</t>
  </si>
  <si>
    <t>(b) Claims by maturity</t>
  </si>
  <si>
    <t>(c) Annuities  /  Pension payment</t>
  </si>
  <si>
    <t>(d) Others</t>
  </si>
  <si>
    <t>Survival Benefits</t>
  </si>
  <si>
    <t xml:space="preserve">- Surrender </t>
  </si>
  <si>
    <t xml:space="preserve">- Discontinuance/Lapsed Termination </t>
  </si>
  <si>
    <t xml:space="preserve">- Withdrawals </t>
  </si>
  <si>
    <t xml:space="preserve">- Rider </t>
  </si>
  <si>
    <t xml:space="preserve">- Health </t>
  </si>
  <si>
    <t>Lumpsum Benefit/Income Benefit(Installment)</t>
  </si>
  <si>
    <t>Bonus to Policyholders</t>
  </si>
  <si>
    <t>Vesting of pension policy</t>
  </si>
  <si>
    <t>Waiver of Premium</t>
  </si>
  <si>
    <t xml:space="preserve">- Interest on unclaimed amounts  </t>
  </si>
  <si>
    <t>Claim Investigation Fees</t>
  </si>
  <si>
    <t xml:space="preserve">- Others </t>
  </si>
  <si>
    <t>(Amount ceded in reinsurance)</t>
  </si>
  <si>
    <t>(c) Annuities  /  pension payment</t>
  </si>
  <si>
    <t>(d) Other benefits/Health</t>
  </si>
  <si>
    <t>(e) Riders</t>
  </si>
  <si>
    <t>Amount accepted in reinsurance</t>
  </si>
  <si>
    <t>(d) Other benefits</t>
  </si>
  <si>
    <t>Total</t>
  </si>
  <si>
    <t>Benefits paid to Claimants</t>
  </si>
  <si>
    <t>In India</t>
  </si>
  <si>
    <t>Outside India</t>
  </si>
  <si>
    <t>L4:PREMIUM SCHEDULE</t>
  </si>
  <si>
    <t>(in 000)</t>
  </si>
  <si>
    <t>Commission</t>
  </si>
  <si>
    <t>Direct    -  First year premiums</t>
  </si>
  <si>
    <t xml:space="preserve">              -  Renewal premiums</t>
  </si>
  <si>
    <t xml:space="preserve">              -  Single premiums</t>
  </si>
  <si>
    <t>Add: Commission on Re-insurance accepted</t>
  </si>
  <si>
    <t>Less: Commission on Re-insurance ceded</t>
  </si>
  <si>
    <t>Net commission</t>
  </si>
  <si>
    <t xml:space="preserve">Break-up of the commission expenses (Gross) </t>
  </si>
  <si>
    <t>incurred to procure business:</t>
  </si>
  <si>
    <t>Agents</t>
  </si>
  <si>
    <t>Corporate agency</t>
  </si>
  <si>
    <t>Bancassurance</t>
  </si>
  <si>
    <t>Micro Insurance Agent</t>
  </si>
  <si>
    <t>Web Aggregator</t>
  </si>
  <si>
    <t>Referral</t>
  </si>
  <si>
    <t>Others</t>
  </si>
  <si>
    <t>(Amount in '000)</t>
  </si>
  <si>
    <t xml:space="preserve">Employees' remuneration &amp; welfare benefits </t>
  </si>
  <si>
    <t>Travel, conveyance and vehicle running expenses</t>
  </si>
  <si>
    <t>Training expenses</t>
  </si>
  <si>
    <t xml:space="preserve">Rent, rates &amp; taxes </t>
  </si>
  <si>
    <t>Repairs</t>
  </si>
  <si>
    <t>Printing &amp; stationery</t>
  </si>
  <si>
    <t>Communication expenses</t>
  </si>
  <si>
    <t>Legal &amp; professional charges</t>
  </si>
  <si>
    <t>Medical fees</t>
  </si>
  <si>
    <t>Auditors' fees,expenses,etc.</t>
  </si>
  <si>
    <t>(a) as auditor</t>
  </si>
  <si>
    <t>(b) as adviser or in any other capacity,in respect of</t>
  </si>
  <si>
    <t xml:space="preserve">      (i) Taxation matters</t>
  </si>
  <si>
    <t xml:space="preserve">      (ii) Insurance matters</t>
  </si>
  <si>
    <t xml:space="preserve">      (iii)Management services; certification fee</t>
  </si>
  <si>
    <t>(c) in any other capacity</t>
  </si>
  <si>
    <t xml:space="preserve">(d) Out of pocket expenses </t>
  </si>
  <si>
    <t>Advertisement, Publicity and marketing</t>
  </si>
  <si>
    <t>Interest &amp; bank charges</t>
  </si>
  <si>
    <t xml:space="preserve">Agent Recruitment expenses </t>
  </si>
  <si>
    <t>Information technology expenses</t>
  </si>
  <si>
    <t>Goods and Service Tax/ Service Tax</t>
  </si>
  <si>
    <t>Stamp duty on policies</t>
  </si>
  <si>
    <t>Depreciation</t>
  </si>
  <si>
    <t>(Profit)/Loss on sale of Assests</t>
  </si>
  <si>
    <t>Distribution Expenses</t>
  </si>
  <si>
    <t>Business promotion expenses</t>
  </si>
  <si>
    <t>Business Processing Services</t>
  </si>
  <si>
    <t xml:space="preserve">Office Expenses </t>
  </si>
  <si>
    <t>Electricity</t>
  </si>
  <si>
    <t xml:space="preserve">Recruitment expenses </t>
  </si>
  <si>
    <t>Other expenses</t>
  </si>
  <si>
    <t>outsourcing expenses</t>
  </si>
  <si>
    <t>Contribution from Sharehoders Account towards Expense of Management</t>
  </si>
  <si>
    <t>L-32:SOLVENCY MARGIN</t>
  </si>
  <si>
    <t>Description</t>
  </si>
  <si>
    <t>Available Assets in Policyholders' Fund:</t>
  </si>
  <si>
    <t>Deduct:</t>
  </si>
  <si>
    <t xml:space="preserve">Mathematical Reserves </t>
  </si>
  <si>
    <t xml:space="preserve">Other Liabilities </t>
  </si>
  <si>
    <t xml:space="preserve">Available Assets in Shareholders Fund: </t>
  </si>
  <si>
    <t>Other Liabilities of shareholders' fund</t>
  </si>
  <si>
    <t>Total ASM (04)+(07)</t>
  </si>
  <si>
    <t>Total RSM</t>
  </si>
  <si>
    <t>Solvency Ratio (ASM/RSM)</t>
  </si>
  <si>
    <r>
      <rPr>
        <sz val="9"/>
        <rFont val="Comic Sans MS"/>
        <family val="4"/>
      </rPr>
      <t>Surplus/ (Deficit) from Policyholders Accounts</t>
    </r>
  </si>
  <si>
    <r>
      <rPr>
        <sz val="9"/>
        <rFont val="Comic Sans MS"/>
        <family val="4"/>
      </rPr>
      <t>Income from Investments</t>
    </r>
  </si>
  <si>
    <r>
      <rPr>
        <sz val="9"/>
        <rFont val="Comic Sans MS"/>
        <family val="4"/>
      </rPr>
      <t>(a) Interest, Dividend &amp; Rent -  Gross</t>
    </r>
  </si>
  <si>
    <r>
      <rPr>
        <sz val="9"/>
        <rFont val="Comic Sans MS"/>
        <family val="4"/>
      </rPr>
      <t>(b) Profit on sale / redemption of investments</t>
    </r>
  </si>
  <si>
    <r>
      <rPr>
        <sz val="9"/>
        <rFont val="Comic Sans MS"/>
        <family val="4"/>
      </rPr>
      <t>(c) (Loss on sale / redemption of investments)</t>
    </r>
  </si>
  <si>
    <r>
      <rPr>
        <sz val="9"/>
        <rFont val="Comic Sans MS"/>
        <family val="4"/>
      </rPr>
      <t>(d) Accretion of discount/(amortisation of premium) (net)</t>
    </r>
  </si>
  <si>
    <r>
      <rPr>
        <sz val="9"/>
        <rFont val="Comic Sans MS"/>
        <family val="4"/>
      </rPr>
      <t>Other Income</t>
    </r>
  </si>
  <si>
    <r>
      <rPr>
        <sz val="9"/>
        <rFont val="Comic Sans MS"/>
        <family val="4"/>
      </rPr>
      <t>Expenses other than those directly related to the insurance business</t>
    </r>
  </si>
  <si>
    <r>
      <rPr>
        <sz val="9"/>
        <rFont val="Comic Sans MS"/>
        <family val="4"/>
      </rPr>
      <t>(a) Rates and Taxes</t>
    </r>
  </si>
  <si>
    <r>
      <rPr>
        <sz val="9"/>
        <rFont val="Comic Sans MS"/>
        <family val="4"/>
      </rPr>
      <t>(b) Directors' Sitting Fees</t>
    </r>
  </si>
  <si>
    <r>
      <rPr>
        <sz val="9"/>
        <rFont val="Comic Sans MS"/>
        <family val="4"/>
      </rPr>
      <t>(c) Board Meeting Related Expenses</t>
    </r>
  </si>
  <si>
    <r>
      <rPr>
        <sz val="9"/>
        <rFont val="Comic Sans MS"/>
        <family val="4"/>
      </rPr>
      <t>(d) Depreciation</t>
    </r>
  </si>
  <si>
    <r>
      <rPr>
        <sz val="9"/>
        <rFont val="Comic Sans MS"/>
        <family val="4"/>
      </rPr>
      <t>(e) Other expenses</t>
    </r>
  </si>
  <si>
    <r>
      <rPr>
        <sz val="9"/>
        <rFont val="Comic Sans MS"/>
        <family val="4"/>
      </rPr>
      <t>(f) Corporate Social Responsibility expenses</t>
    </r>
  </si>
  <si>
    <r>
      <rPr>
        <sz val="9"/>
        <rFont val="Comic Sans MS"/>
        <family val="4"/>
      </rPr>
      <t>Bad debts written off</t>
    </r>
  </si>
  <si>
    <r>
      <rPr>
        <sz val="9"/>
        <rFont val="Comic Sans MS"/>
        <family val="4"/>
      </rPr>
      <t>Contribution to the Policyholders' Fund</t>
    </r>
  </si>
  <si>
    <r>
      <rPr>
        <sz val="9"/>
        <rFont val="Comic Sans MS"/>
        <family val="4"/>
      </rPr>
      <t>Provisions (Other than taxation)</t>
    </r>
  </si>
  <si>
    <r>
      <rPr>
        <sz val="9"/>
        <rFont val="Comic Sans MS"/>
        <family val="4"/>
      </rPr>
      <t>(a) For diminution in the value of investment (net)</t>
    </r>
  </si>
  <si>
    <r>
      <rPr>
        <sz val="9"/>
        <rFont val="Comic Sans MS"/>
        <family val="4"/>
      </rPr>
      <t>(b) Provision for doubtful debts</t>
    </r>
  </si>
  <si>
    <r>
      <rPr>
        <sz val="9"/>
        <rFont val="Comic Sans MS"/>
        <family val="4"/>
      </rPr>
      <t>Profit / (Loss) before tax</t>
    </r>
  </si>
  <si>
    <r>
      <rPr>
        <sz val="9"/>
        <rFont val="Comic Sans MS"/>
        <family val="4"/>
      </rPr>
      <t>Provision for Taxation</t>
    </r>
  </si>
  <si>
    <t>Deferred Tax credit/(charge)</t>
  </si>
  <si>
    <r>
      <rPr>
        <sz val="9"/>
        <rFont val="Comic Sans MS"/>
        <family val="4"/>
      </rPr>
      <t>-Income Tax</t>
    </r>
  </si>
  <si>
    <r>
      <rPr>
        <sz val="9"/>
        <rFont val="Comic Sans MS"/>
        <family val="4"/>
      </rPr>
      <t>Profit / (Loss) after tax</t>
    </r>
  </si>
  <si>
    <t>APPROPRIATIONS</t>
  </si>
  <si>
    <r>
      <rPr>
        <sz val="9"/>
        <rFont val="Comic Sans MS"/>
        <family val="4"/>
      </rPr>
      <t>(a) Balance at the beginning of the period</t>
    </r>
  </si>
  <si>
    <r>
      <rPr>
        <sz val="9"/>
        <rFont val="Comic Sans MS"/>
        <family val="4"/>
      </rPr>
      <t>(b) Interim dividend paid during the period</t>
    </r>
  </si>
  <si>
    <t>(c) Proposed final/interim dividend</t>
  </si>
  <si>
    <r>
      <rPr>
        <sz val="9"/>
        <rFont val="Comic Sans MS"/>
        <family val="4"/>
      </rPr>
      <t>(d) Dividend distribution tax</t>
    </r>
  </si>
  <si>
    <r>
      <rPr>
        <sz val="9"/>
        <rFont val="Comic Sans MS"/>
        <family val="4"/>
      </rPr>
      <t>(e) Transfer to reserves / other accounts</t>
    </r>
  </si>
  <si>
    <t>Profit / (Loss) carried to the Balance Sheet</t>
  </si>
  <si>
    <r>
      <rPr>
        <b/>
        <sz val="9"/>
        <rFont val="Comic Sans MS"/>
        <family val="4"/>
      </rPr>
      <t>EARNINGS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PER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EQUITY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SHARE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(in</t>
    </r>
    <r>
      <rPr>
        <sz val="9"/>
        <rFont val="Comic Sans MS"/>
        <family val="4"/>
      </rPr>
      <t xml:space="preserve"> `</t>
    </r>
    <r>
      <rPr>
        <b/>
        <sz val="9"/>
        <rFont val="Comic Sans MS"/>
        <family val="4"/>
      </rPr>
      <t>)</t>
    </r>
  </si>
  <si>
    <r>
      <rPr>
        <sz val="9"/>
        <rFont val="Comic Sans MS"/>
        <family val="4"/>
      </rPr>
      <t>(Face Value ` 10/- per share)</t>
    </r>
  </si>
  <si>
    <t>Basic</t>
  </si>
  <si>
    <t>Diluted</t>
  </si>
  <si>
    <t>L2:PROFIT &amp; LOSS ACCOUNT</t>
  </si>
  <si>
    <t>Figures in '000'</t>
  </si>
  <si>
    <t>L5:COMMISSION SCHEDULE</t>
  </si>
  <si>
    <t>L7:BENEFITS PAID SCHEDULE</t>
  </si>
  <si>
    <t>L6:Operating Expenses Schedule Related to Insurance Business</t>
  </si>
  <si>
    <t>Figures in Crores</t>
  </si>
  <si>
    <t xml:space="preserve">L38:BUSINESS ACQUISITION (Individual) Number of Policies </t>
  </si>
  <si>
    <t>Aditya Birla Sun Life Insurance Company Limited</t>
  </si>
  <si>
    <t>Aegon Life Insurance Company Limited</t>
  </si>
  <si>
    <t>Aviva Life Insurance Company India Private Limited</t>
  </si>
  <si>
    <t>Bajaj Allianz Life Insurance Company Limited</t>
  </si>
  <si>
    <t>Bharti AXA Life Insurance Private Limited</t>
  </si>
  <si>
    <t>Canara HSBC Oriental Bank of Commerce Life Insurance Company Limited</t>
  </si>
  <si>
    <t>DHFL Pramerica Life Insurance Company Limited</t>
  </si>
  <si>
    <t>Edelweiss Tokio Life Insurance Company Limited</t>
  </si>
  <si>
    <t>Exide life Insurance Company Limited</t>
  </si>
  <si>
    <t>Future Generali India Life Insurance Company Limited</t>
  </si>
  <si>
    <t>HDFC Life Insurance Company Limited</t>
  </si>
  <si>
    <t>ICICI Prudential Life Insurance Company Limited</t>
  </si>
  <si>
    <t>IDBI Federal Life Insurance Company Limited</t>
  </si>
  <si>
    <t>IndiaFirst Life Insurance Company Limited</t>
  </si>
  <si>
    <t>Kotak Mahindra Life Insurance Company Limited</t>
  </si>
  <si>
    <t>Max Life Insurance Company Limited</t>
  </si>
  <si>
    <t>PNB MetLife India Insurance Company Limited</t>
  </si>
  <si>
    <t>Reliance Nippon Life Insurance Company Limited</t>
  </si>
  <si>
    <t>Sahara India Life Insurance Company Limited</t>
  </si>
  <si>
    <t>SBI Life Insurance Company Limited</t>
  </si>
  <si>
    <t>Shriram Life Insurance Company Limited</t>
  </si>
  <si>
    <t>Star Union Dai-ichi Life Insurance Company Limited</t>
  </si>
  <si>
    <t>Tata AIA Life Insurance Company Limited</t>
  </si>
  <si>
    <t>Life Insurance Corporation of India</t>
  </si>
  <si>
    <t>IDBI Federal Life Insurance Company Limited Nothing</t>
  </si>
  <si>
    <t>SBI Life Insurance Company Limited (In Crore)</t>
  </si>
  <si>
    <t>Reliance Nippon Life Insurance Company Limited  (In Crore)</t>
  </si>
  <si>
    <t>ICICI Prudential Life Insurance Company Limited  (In Crore)</t>
  </si>
  <si>
    <t xml:space="preserve">Edelweiss Tokio Life Insurance Company Limited </t>
  </si>
  <si>
    <t xml:space="preserve">Excess in  Policyholders' funds </t>
  </si>
  <si>
    <t xml:space="preserve">Excess in Shareholders' funds </t>
  </si>
  <si>
    <t xml:space="preserve">IDBI Federal Life Insurance Company Limited </t>
  </si>
  <si>
    <t>online</t>
  </si>
  <si>
    <t>(c) Others-Provision</t>
  </si>
  <si>
    <t>L-4</t>
  </si>
  <si>
    <t>(b) Reinsurance ceded</t>
  </si>
  <si>
    <t>(c) Reinsurance accepted</t>
  </si>
  <si>
    <t>SUB - TOTAL</t>
  </si>
  <si>
    <t>Income from investments</t>
  </si>
  <si>
    <t>(a) Interest, Dividends &amp; Rent - Gross</t>
  </si>
  <si>
    <t>(b) Profit on sale / redemption of investments</t>
  </si>
  <si>
    <t>(c) (Loss on sale / redemption of investments)</t>
  </si>
  <si>
    <t>(d) Transfer /Gain on revaluation / change in fair value*</t>
  </si>
  <si>
    <t>(e) Accretion of discount/(amortisation of premium) (Net)</t>
  </si>
  <si>
    <t xml:space="preserve">Other income  </t>
  </si>
  <si>
    <t>(a) Contribution from the Shareholders' A/c</t>
  </si>
  <si>
    <t>(b) Income on unclaimed amount of policyholders</t>
  </si>
  <si>
    <t>(c) Miscellaneous income</t>
  </si>
  <si>
    <t>L-5</t>
  </si>
  <si>
    <t>Operating expenses related to insurance business</t>
  </si>
  <si>
    <t>L-6</t>
  </si>
  <si>
    <t>Provision for doubtful debts</t>
  </si>
  <si>
    <t>Bad debts written off</t>
  </si>
  <si>
    <t>Provision for tax</t>
  </si>
  <si>
    <t xml:space="preserve"> - Income tax</t>
  </si>
  <si>
    <t>Provisions (other than taxation)</t>
  </si>
  <si>
    <t xml:space="preserve">(a) For diminution in the value of investments (Net) </t>
  </si>
  <si>
    <t xml:space="preserve">(b) For standard assets </t>
  </si>
  <si>
    <t>Good and Service Tax charges on charges</t>
  </si>
  <si>
    <t>Total (B)</t>
  </si>
  <si>
    <t>Benefits paid (Net)</t>
  </si>
  <si>
    <t>L-7</t>
  </si>
  <si>
    <t xml:space="preserve">Interim &amp; Terminal bonuses paid </t>
  </si>
  <si>
    <t xml:space="preserve">Change in valuation of liability in respect of life policies </t>
  </si>
  <si>
    <t>(a) Gross**</t>
  </si>
  <si>
    <t>(b) Amount ceded in Re-insurance</t>
  </si>
  <si>
    <t>(c) Amount accepted in Re-insurance</t>
  </si>
  <si>
    <t>(d) Fund reserve</t>
  </si>
  <si>
    <t>(e) Funds for discontinued policies</t>
  </si>
  <si>
    <t>Total (C)</t>
  </si>
  <si>
    <t>SURPLUS/ (DEFICIT) (D) = [(A)-(B)-(C)]</t>
  </si>
  <si>
    <t>Balance of previous year</t>
  </si>
  <si>
    <t>Balance available for appropriation</t>
  </si>
  <si>
    <t>Transfer to Shareholders' account</t>
  </si>
  <si>
    <t xml:space="preserve">Transfer to other reserves </t>
  </si>
  <si>
    <t>Balance being Funds for Future Appropriations</t>
  </si>
  <si>
    <t>a) Interim &amp; Terminal bonuses paid</t>
  </si>
  <si>
    <t>b) Allocation of bonus to policyholders</t>
  </si>
  <si>
    <t>c) Surplus shown in the revenue account</t>
  </si>
  <si>
    <t>d) Total Surplus: [(a) + (b) + (c )]</t>
  </si>
  <si>
    <t>Linked</t>
  </si>
  <si>
    <t>a) Life</t>
  </si>
  <si>
    <t>b) General Annuity</t>
  </si>
  <si>
    <t>c) Pension</t>
  </si>
  <si>
    <t>d) Health</t>
  </si>
  <si>
    <t>Non-Linked</t>
  </si>
  <si>
    <t>e) Par</t>
  </si>
  <si>
    <t>f) Funds for discontinued policies</t>
  </si>
  <si>
    <t>Non Par Variable</t>
  </si>
  <si>
    <t>Capital reserve</t>
  </si>
  <si>
    <t>Capital redemption reserve</t>
  </si>
  <si>
    <t>Share premium</t>
  </si>
  <si>
    <t>Revaluation reserve</t>
  </si>
  <si>
    <t>General reserves</t>
  </si>
  <si>
    <t>Less : Debit balance in Profit and Loss account, If any</t>
  </si>
  <si>
    <t>Less : Amount utililized for buy-back</t>
  </si>
  <si>
    <t>Catastrophe reserve</t>
  </si>
  <si>
    <t xml:space="preserve">Other reserves </t>
  </si>
  <si>
    <t>Balance of profit in Profit and Loss account</t>
  </si>
  <si>
    <t>Debentures / Bonds</t>
  </si>
  <si>
    <t>Banks</t>
  </si>
  <si>
    <t>Financial institutions</t>
  </si>
  <si>
    <t>Form L-10-Reserves and Surplus Schedule(Amount in '000)</t>
  </si>
  <si>
    <t>Form L-11 -Borrowings Schedule  (Amount in '000)</t>
  </si>
  <si>
    <t>Transfer to Balance Sheet being deficit in Revenue Account (Policyholders' account)</t>
  </si>
  <si>
    <t>Expenses in excess of Allowable Expense transferred to Shareholders Account</t>
  </si>
  <si>
    <t>(f) Provision for linked liabilities</t>
  </si>
  <si>
    <t>L1:REVENUE ACCOUNT Figures in '000'</t>
  </si>
  <si>
    <t>(g) Appreciation in unclaimed balances</t>
  </si>
  <si>
    <t>-</t>
  </si>
  <si>
    <t>(f) Corporate Social Responsibility expenses</t>
  </si>
  <si>
    <t>(f) Unrealised Gains</t>
  </si>
  <si>
    <t>Transfer from Linked Fund (Lapsed policies)</t>
  </si>
  <si>
    <t>L37:BUSINESS ACQUISITION THROUGH DIFFERENT CHANNELS (GROUP) Premium</t>
  </si>
  <si>
    <t>L38::BUSINESS ACQUISITION THROUGH DIFFERENT CHANNELS (Individual) Premium</t>
  </si>
  <si>
    <t>Rural(Individual)</t>
  </si>
  <si>
    <t>No. of Policies</t>
  </si>
  <si>
    <t xml:space="preserve">No. of Lives </t>
  </si>
  <si>
    <t xml:space="preserve">Premium (` in Crores)     </t>
  </si>
  <si>
    <t xml:space="preserve">Premium   (`in Crores)     </t>
  </si>
  <si>
    <t xml:space="preserve">Aditya Birla Sun Life Insurance Company Limited </t>
  </si>
  <si>
    <t>Urban(Individual)</t>
  </si>
  <si>
    <t xml:space="preserve">Bajaj Allianz Life Insurance Company Limited  </t>
  </si>
  <si>
    <t xml:space="preserve">Bharti AXA Life Insurance Private Limited  </t>
  </si>
  <si>
    <t xml:space="preserve">Exide life Insurance Company Limited  </t>
  </si>
  <si>
    <t xml:space="preserve">Future Generali India Life Insurance Company Limited  </t>
  </si>
  <si>
    <t xml:space="preserve">HDFC Life Insurance Company Limited   </t>
  </si>
  <si>
    <t xml:space="preserve">Canara HSBC Oriental Bank of Commerce Life Insurance Company Limited </t>
  </si>
  <si>
    <t xml:space="preserve">Shriram Life Insurance Company Limited </t>
  </si>
  <si>
    <t>Life Industry Total</t>
  </si>
  <si>
    <t xml:space="preserve">PNB MetLife India Insurance Company Limited </t>
  </si>
  <si>
    <t>For Q1 1920</t>
  </si>
  <si>
    <t>For Q1 1819</t>
  </si>
  <si>
    <t>AS at 30.06.2019</t>
  </si>
  <si>
    <t>Adjusted Value June 2019</t>
  </si>
  <si>
    <t>Current Tax (Credit)/Charge</t>
  </si>
  <si>
    <t>Upto Q1 201920</t>
  </si>
  <si>
    <t>Provision for current tax</t>
  </si>
  <si>
    <t>Total (E)</t>
  </si>
  <si>
    <t>(c)Others</t>
  </si>
  <si>
    <t xml:space="preserve">Bharti AXA Life Insurance Private Limited </t>
  </si>
  <si>
    <t xml:space="preserve">Star Union Dai-ichi Life Insurance Company Limited </t>
  </si>
  <si>
    <t xml:space="preserve">ICICI Prudential Life Insurance Company Limited </t>
  </si>
  <si>
    <t xml:space="preserve">Future Generali India Life Insurance Company Limited </t>
  </si>
  <si>
    <t xml:space="preserve">HDFC Life Insurance Company Limited </t>
  </si>
  <si>
    <t xml:space="preserve">Exide life Insurance Company Limited </t>
  </si>
  <si>
    <t xml:space="preserve">Aegon Life Insurance Company Limited </t>
  </si>
  <si>
    <r>
      <rPr>
        <b/>
        <sz val="9"/>
        <color indexed="30"/>
        <rFont val="Comic Sans MS"/>
        <family val="4"/>
      </rPr>
      <t>Total</t>
    </r>
    <r>
      <rPr>
        <sz val="9"/>
        <color indexed="30"/>
        <rFont val="Comic Sans MS"/>
        <family val="4"/>
      </rPr>
      <t xml:space="preserve"> </t>
    </r>
    <r>
      <rPr>
        <b/>
        <sz val="9"/>
        <color indexed="30"/>
        <rFont val="Comic Sans MS"/>
        <family val="4"/>
      </rPr>
      <t>(B)</t>
    </r>
  </si>
  <si>
    <r>
      <rPr>
        <b/>
        <sz val="9"/>
        <color indexed="30"/>
        <rFont val="Comic Sans MS"/>
        <family val="4"/>
      </rPr>
      <t>Total</t>
    </r>
    <r>
      <rPr>
        <sz val="9"/>
        <color indexed="30"/>
        <rFont val="Comic Sans MS"/>
        <family val="4"/>
      </rPr>
      <t xml:space="preserve"> </t>
    </r>
    <r>
      <rPr>
        <b/>
        <sz val="9"/>
        <color indexed="30"/>
        <rFont val="Comic Sans MS"/>
        <family val="4"/>
      </rPr>
      <t>(A)</t>
    </r>
  </si>
  <si>
    <t>SOURCES OF FUNDS</t>
  </si>
  <si>
    <t>Shareholders' Funds</t>
  </si>
  <si>
    <t>Credit/(Debit) Fair Value Change Account (Net)</t>
  </si>
  <si>
    <t>Sub-Total</t>
  </si>
  <si>
    <t>Policyholders' Funds:</t>
  </si>
  <si>
    <t>Policy Liabilities</t>
  </si>
  <si>
    <t>Insurance Reserves</t>
  </si>
  <si>
    <t>Linked Liabilities</t>
  </si>
  <si>
    <t>Fair value change</t>
  </si>
  <si>
    <t>Provision For Linked Liabilities</t>
  </si>
  <si>
    <t>Funds for Discontinued Policies</t>
  </si>
  <si>
    <t xml:space="preserve">   Discontinued on account of non-payment of premium</t>
  </si>
  <si>
    <t xml:space="preserve">   Others</t>
  </si>
  <si>
    <t>Funds For Future Appropriations</t>
  </si>
  <si>
    <t>Non Linked</t>
  </si>
  <si>
    <t>TOTAL</t>
  </si>
  <si>
    <t>APPLICATION OF FUNDS</t>
  </si>
  <si>
    <t>Investments</t>
  </si>
  <si>
    <t>Current Assets</t>
  </si>
  <si>
    <t>Sub-Total (A)</t>
  </si>
  <si>
    <t>Sub-Total (B)</t>
  </si>
  <si>
    <t>Net Current Assets (C) = (A - B)</t>
  </si>
  <si>
    <t xml:space="preserve">Miscellaneous Expenditure </t>
  </si>
  <si>
    <t>(To the extent not written off or adjusted)</t>
  </si>
  <si>
    <t>Debit Balance of Profit and Loss Account</t>
  </si>
  <si>
    <t>Deficit in the Revenue Account (Policyholders' Account)</t>
  </si>
  <si>
    <t>CONTINGENT LIABILITIES</t>
  </si>
  <si>
    <t>Partly paid - up investments</t>
  </si>
  <si>
    <t>Claims, other than against policies, not acknowledged as debts by the Company</t>
  </si>
  <si>
    <t>Underwriting commitments outstanding</t>
  </si>
  <si>
    <t>Guarantees given by or on behalf of the Company</t>
  </si>
  <si>
    <t>Reinsurance obligations to the extent not provided for in accounts</t>
  </si>
  <si>
    <t>Credit/(Debit) Fair Value Change Account (Linked)</t>
  </si>
  <si>
    <t>Total Linked Liabilities</t>
  </si>
  <si>
    <t>Advances And Other Assets L18</t>
  </si>
  <si>
    <t>Audited as at 30th June 2019</t>
  </si>
  <si>
    <t>In relation to Claims against policies</t>
  </si>
  <si>
    <t xml:space="preserve">Statutory demands/ liabilities in dispute, not provided for </t>
  </si>
  <si>
    <t>Share Application Money pending Allotment</t>
  </si>
  <si>
    <t>Surplus on Policy Holder's  A/c</t>
  </si>
  <si>
    <t>Credit/(Debit) Fair Value Change A/c (Linked)Change Account (Net)</t>
  </si>
  <si>
    <t>Deferred Tax Assets</t>
  </si>
  <si>
    <t>Non Linked Liabilities</t>
  </si>
  <si>
    <t>Revaluation Reserve-Investment Property</t>
  </si>
  <si>
    <t>L3-Balance Sheet</t>
  </si>
  <si>
    <t>Individual</t>
  </si>
  <si>
    <t>Group</t>
  </si>
  <si>
    <t>Parameters</t>
  </si>
  <si>
    <t>Company</t>
  </si>
  <si>
    <t>Upto Q1 202021</t>
  </si>
  <si>
    <t>For Q1 2021</t>
  </si>
  <si>
    <t>Audited as at 30th June 2020</t>
  </si>
  <si>
    <t>AS at 30.06.2020</t>
  </si>
  <si>
    <t>FORM L-24  Valuation of net liabiltiies: As at 30.06.2020</t>
  </si>
  <si>
    <t>Adjusted Value June 2020 In Lakhs</t>
  </si>
  <si>
    <t>Adjusted Value June 2020</t>
  </si>
  <si>
    <t>Rewards &amp; Remuneration to Agents</t>
  </si>
  <si>
    <t>Total Commission and Rewards &amp; remuneration</t>
  </si>
  <si>
    <t>Pramerica Life Insurance Company Limited</t>
  </si>
  <si>
    <t xml:space="preserve"> Pramerica Life Insurance Company Limited</t>
  </si>
  <si>
    <t>Deffered Tax Liability</t>
  </si>
  <si>
    <r>
      <t xml:space="preserve">Share Capital </t>
    </r>
    <r>
      <rPr>
        <b/>
        <sz val="9"/>
        <color indexed="8"/>
        <rFont val="Comic Sans MS"/>
        <family val="4"/>
      </rPr>
      <t>L8</t>
    </r>
  </si>
  <si>
    <r>
      <t>Reserves And Surplus</t>
    </r>
    <r>
      <rPr>
        <b/>
        <sz val="9"/>
        <color indexed="8"/>
        <rFont val="Comic Sans MS"/>
        <family val="4"/>
      </rPr>
      <t xml:space="preserve"> L10</t>
    </r>
  </si>
  <si>
    <r>
      <t xml:space="preserve">Borrowings </t>
    </r>
    <r>
      <rPr>
        <b/>
        <sz val="9"/>
        <color indexed="8"/>
        <rFont val="Comic Sans MS"/>
        <family val="4"/>
      </rPr>
      <t>L11</t>
    </r>
  </si>
  <si>
    <r>
      <t xml:space="preserve">Shareholders' </t>
    </r>
    <r>
      <rPr>
        <b/>
        <sz val="9"/>
        <color indexed="8"/>
        <rFont val="Comic Sans MS"/>
        <family val="4"/>
      </rPr>
      <t xml:space="preserve"> L12</t>
    </r>
  </si>
  <si>
    <r>
      <t xml:space="preserve">Policyholders'  </t>
    </r>
    <r>
      <rPr>
        <b/>
        <sz val="9"/>
        <color indexed="8"/>
        <rFont val="Comic Sans MS"/>
        <family val="4"/>
      </rPr>
      <t>L13</t>
    </r>
  </si>
  <si>
    <r>
      <t xml:space="preserve">Assets Held To Cover Linked Liabilities </t>
    </r>
    <r>
      <rPr>
        <b/>
        <sz val="9"/>
        <color indexed="8"/>
        <rFont val="Comic Sans MS"/>
        <family val="4"/>
      </rPr>
      <t>L14</t>
    </r>
  </si>
  <si>
    <r>
      <t>Loans</t>
    </r>
    <r>
      <rPr>
        <b/>
        <sz val="9"/>
        <color indexed="8"/>
        <rFont val="Comic Sans MS"/>
        <family val="4"/>
      </rPr>
      <t xml:space="preserve"> L15</t>
    </r>
  </si>
  <si>
    <r>
      <t xml:space="preserve">Fixed Assets </t>
    </r>
    <r>
      <rPr>
        <b/>
        <sz val="9"/>
        <color indexed="8"/>
        <rFont val="Comic Sans MS"/>
        <family val="4"/>
      </rPr>
      <t>L 16</t>
    </r>
  </si>
  <si>
    <r>
      <t xml:space="preserve">Cash and Bank Balances </t>
    </r>
    <r>
      <rPr>
        <b/>
        <sz val="9"/>
        <color indexed="8"/>
        <rFont val="Comic Sans MS"/>
        <family val="4"/>
      </rPr>
      <t>L17</t>
    </r>
  </si>
  <si>
    <r>
      <t xml:space="preserve">Current Liabilities </t>
    </r>
    <r>
      <rPr>
        <b/>
        <sz val="9"/>
        <color indexed="8"/>
        <rFont val="Comic Sans MS"/>
        <family val="4"/>
      </rPr>
      <t>L19</t>
    </r>
  </si>
  <si>
    <r>
      <t xml:space="preserve">Provisions </t>
    </r>
    <r>
      <rPr>
        <b/>
        <sz val="9"/>
        <color indexed="8"/>
        <rFont val="Comic Sans MS"/>
        <family val="4"/>
      </rPr>
      <t>L20</t>
    </r>
  </si>
  <si>
    <t xml:space="preserve">HDFC Life Insurance Company Limited (Lac) </t>
  </si>
  <si>
    <t>Future Generali India Life Insurance Company Limited (Lac)</t>
  </si>
  <si>
    <t>Exide life Insurance Company Limited (Lac)</t>
  </si>
  <si>
    <t xml:space="preserve">Pramerica Life Insurance Company Limited  </t>
  </si>
  <si>
    <t>L25 :Geographical Representation of Life Insurance Business As on 30th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</si>
</sst>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(* #,##0.00_);_(* \(#,##0.00\);_(* &quot;-&quot;??_);_(@_)"/>
    <numFmt numFmtId="172" formatCode="##0"/>
  </numFmts>
  <fonts count="55">
    <font>
      <sz val="11"/>
      <color theme="1"/>
      <name val="Calibri"/>
      <family val="2"/>
      <scheme val="minor"/>
    </font>
    <font>
      <b/>
      <sz val="9"/>
      <color indexed="8"/>
      <name val="Comic Sans MS"/>
      <family val="4"/>
    </font>
    <font>
      <b/>
      <sz val="9"/>
      <name val="Comic Sans MS"/>
      <family val="4"/>
    </font>
    <font>
      <b/>
      <sz val="10"/>
      <name val="Comic Sans MS"/>
      <family val="4"/>
    </font>
    <font>
      <b/>
      <sz val="8"/>
      <name val="Comic Sans MS"/>
      <family val="4"/>
    </font>
    <font>
      <sz val="9"/>
      <name val="Comic Sans MS"/>
      <family val="4"/>
    </font>
    <font>
      <sz val="10"/>
      <name val="Comic Sans MS"/>
      <family val="4"/>
    </font>
    <font>
      <b/>
      <i/>
      <sz val="9"/>
      <name val="Comic Sans MS"/>
      <family val="4"/>
    </font>
    <font>
      <sz val="11"/>
      <name val="Comic Sans MS"/>
      <family val="4"/>
    </font>
    <font>
      <b/>
      <sz val="8"/>
      <name val="Cambria"/>
      <family val="1"/>
    </font>
    <font>
      <b/>
      <sz val="8"/>
      <name val="Arial"/>
      <family val="2"/>
    </font>
    <font>
      <b/>
      <sz val="9"/>
      <color indexed="30"/>
      <name val="Comic Sans MS"/>
      <family val="4"/>
    </font>
    <font>
      <sz val="9"/>
      <color indexed="30"/>
      <name val="Comic Sans MS"/>
      <family val="4"/>
    </font>
    <font>
      <sz val="8"/>
      <name val="Comic Sans MS"/>
      <family val="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omic Sans MS"/>
      <family val="4"/>
    </font>
    <font>
      <sz val="9"/>
      <color theme="1"/>
      <name val="Comic Sans MS"/>
      <family val="4"/>
    </font>
    <font>
      <b/>
      <sz val="9"/>
      <color rgb="FFFF0000"/>
      <name val="Comic Sans MS"/>
      <family val="4"/>
    </font>
    <font>
      <sz val="8"/>
      <color rgb="FF000000"/>
      <name val="Comic Sans MS"/>
      <family val="4"/>
    </font>
    <font>
      <sz val="9"/>
      <color rgb="FF000000"/>
      <name val="Comic Sans MS"/>
      <family val="4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sz val="8"/>
      <color theme="1"/>
      <name val="Comic Sans MS"/>
      <family val="4"/>
    </font>
    <font>
      <b/>
      <sz val="9"/>
      <color rgb="FF000000"/>
      <name val="Comic Sans MS"/>
      <family val="4"/>
    </font>
    <font>
      <sz val="8"/>
      <color theme="1"/>
      <name val="Comic Sans MS"/>
      <family val="4"/>
    </font>
    <font>
      <b/>
      <sz val="8"/>
      <color rgb="FF000000"/>
      <name val="Comic Sans MS"/>
      <family val="4"/>
    </font>
    <font>
      <b/>
      <sz val="9"/>
      <color theme="4"/>
      <name val="Comic Sans MS"/>
      <family val="4"/>
    </font>
    <font>
      <sz val="9"/>
      <color theme="4"/>
      <name val="Comic Sans MS"/>
      <family val="4"/>
    </font>
    <font>
      <b/>
      <sz val="8"/>
      <color theme="4"/>
      <name val="Comic Sans MS"/>
      <family val="4"/>
    </font>
    <font>
      <sz val="11"/>
      <color theme="4"/>
      <name val="Comic Sans MS"/>
      <family val="4"/>
    </font>
    <font>
      <b/>
      <sz val="10"/>
      <color theme="4"/>
      <name val="Comic Sans MS"/>
      <family val="4"/>
    </font>
    <font>
      <b/>
      <sz val="11"/>
      <color theme="4"/>
      <name val="Comic Sans MS"/>
      <family val="4"/>
    </font>
    <font>
      <b/>
      <sz val="10"/>
      <color rgb="FF000000"/>
      <name val="Comic Sans MS"/>
      <family val="4"/>
    </font>
    <font>
      <sz val="9"/>
      <color theme="8"/>
      <name val="Comic Sans MS"/>
      <family val="4"/>
    </font>
    <font>
      <b/>
      <sz val="9"/>
      <color theme="8"/>
      <name val="Comic Sans MS"/>
      <family val="4"/>
    </font>
    <font>
      <sz val="11"/>
      <color theme="8"/>
      <name val="Comic Sans MS"/>
      <family val="4"/>
    </font>
    <font>
      <sz val="11"/>
      <color theme="8"/>
      <name val="Calibri"/>
      <family val="2"/>
      <scheme val="minor"/>
    </font>
    <font>
      <b/>
      <sz val="8"/>
      <color theme="8"/>
      <name val="Comic Sans MS"/>
      <family val="4"/>
    </font>
    <font>
      <sz val="8"/>
      <color theme="8"/>
      <name val="Comic Sans MS"/>
      <family val="4"/>
    </font>
    <font>
      <b/>
      <sz val="11"/>
      <color theme="8"/>
      <name val="Comic Sans MS"/>
      <family val="4"/>
    </font>
    <font>
      <b/>
      <sz val="10"/>
      <color theme="8"/>
      <name val="Comic Sans MS"/>
      <family val="4"/>
    </font>
    <font>
      <sz val="10"/>
      <color rgb="FF000000"/>
      <name val="Comic Sans MS"/>
      <family val="4"/>
    </font>
    <font>
      <sz val="8"/>
      <color rgb="FF000000"/>
      <name val="CIDFontF"/>
    </font>
    <font>
      <sz val="8"/>
      <color rgb="FFFF0000"/>
      <name val="Comic Sans MS"/>
      <family val="4"/>
    </font>
    <font>
      <b/>
      <i/>
      <sz val="9"/>
      <color theme="1"/>
      <name val="Comic Sans MS"/>
      <family val="4"/>
    </font>
    <font>
      <b/>
      <sz val="9"/>
      <color rgb="FF0070C0"/>
      <name val="Comic Sans MS"/>
      <family val="4"/>
    </font>
    <font>
      <sz val="9"/>
      <color rgb="FF0070C0"/>
      <name val="Comic Sans MS"/>
      <family val="4"/>
    </font>
    <font>
      <b/>
      <sz val="8"/>
      <color rgb="FF0070C0"/>
      <name val="Comic Sans MS"/>
      <family val="4"/>
    </font>
    <font>
      <b/>
      <sz val="11"/>
      <color rgb="FF0070C0"/>
      <name val="Comic Sans MS"/>
      <family val="4"/>
    </font>
    <font>
      <b/>
      <sz val="10"/>
      <color rgb="FF0070C0"/>
      <name val="Comic Sans MS"/>
      <family val="4"/>
    </font>
    <font>
      <b/>
      <sz val="11"/>
      <color theme="1"/>
      <name val="Comic Sans MS"/>
      <family val="4"/>
    </font>
    <font>
      <b/>
      <i/>
      <sz val="9"/>
      <color theme="8"/>
      <name val="Comic Sans MS"/>
      <family val="4"/>
    </font>
    <font>
      <i/>
      <sz val="9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</cellStyleXfs>
  <cellXfs count="1355">
    <xf numFmtId="0" fontId="0" fillId="0" borderId="0" xfId="0"/>
    <xf numFmtId="0" fontId="16" fillId="0" borderId="1" xfId="0" applyFont="1" applyBorder="1" applyAlignment="1">
      <alignment horizontal="left" vertical="center"/>
    </xf>
    <xf numFmtId="2" fontId="17" fillId="0" borderId="2" xfId="0" applyNumberFormat="1" applyFont="1" applyBorder="1" applyAlignment="1">
      <alignment horizontal="left"/>
    </xf>
    <xf numFmtId="2" fontId="17" fillId="0" borderId="3" xfId="0" applyNumberFormat="1" applyFont="1" applyBorder="1" applyAlignment="1">
      <alignment horizontal="left"/>
    </xf>
    <xf numFmtId="2" fontId="17" fillId="0" borderId="1" xfId="0" applyNumberFormat="1" applyFont="1" applyBorder="1" applyAlignment="1">
      <alignment horizontal="left"/>
    </xf>
    <xf numFmtId="2" fontId="17" fillId="0" borderId="1" xfId="2" applyNumberFormat="1" applyFont="1" applyBorder="1" applyAlignment="1">
      <alignment horizontal="left"/>
    </xf>
    <xf numFmtId="2" fontId="16" fillId="0" borderId="2" xfId="0" applyNumberFormat="1" applyFont="1" applyBorder="1" applyAlignment="1">
      <alignment horizontal="left"/>
    </xf>
    <xf numFmtId="2" fontId="16" fillId="0" borderId="3" xfId="0" applyNumberFormat="1" applyFont="1" applyBorder="1" applyAlignment="1">
      <alignment horizontal="left"/>
    </xf>
    <xf numFmtId="2" fontId="16" fillId="0" borderId="1" xfId="0" applyNumberFormat="1" applyFont="1" applyBorder="1" applyAlignment="1">
      <alignment horizontal="left"/>
    </xf>
    <xf numFmtId="2" fontId="18" fillId="0" borderId="2" xfId="0" applyNumberFormat="1" applyFont="1" applyBorder="1" applyAlignment="1">
      <alignment horizontal="left"/>
    </xf>
    <xf numFmtId="2" fontId="18" fillId="0" borderId="3" xfId="0" applyNumberFormat="1" applyFont="1" applyBorder="1" applyAlignment="1">
      <alignment horizontal="left"/>
    </xf>
    <xf numFmtId="2" fontId="18" fillId="0" borderId="1" xfId="0" applyNumberFormat="1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7" fillId="0" borderId="0" xfId="0" applyFont="1" applyAlignment="1">
      <alignment horizontal="left"/>
    </xf>
    <xf numFmtId="1" fontId="17" fillId="0" borderId="3" xfId="0" applyNumberFormat="1" applyFont="1" applyBorder="1" applyAlignment="1">
      <alignment horizontal="left" vertical="center"/>
    </xf>
    <xf numFmtId="1" fontId="16" fillId="0" borderId="2" xfId="0" applyNumberFormat="1" applyFont="1" applyBorder="1" applyAlignment="1">
      <alignment horizontal="left" vertical="center"/>
    </xf>
    <xf numFmtId="1" fontId="16" fillId="0" borderId="4" xfId="0" applyNumberFormat="1" applyFont="1" applyBorder="1" applyAlignment="1">
      <alignment horizontal="left" vertical="center"/>
    </xf>
    <xf numFmtId="3" fontId="20" fillId="0" borderId="1" xfId="0" applyNumberFormat="1" applyFont="1" applyBorder="1" applyAlignment="1">
      <alignment horizontal="left"/>
    </xf>
    <xf numFmtId="1" fontId="17" fillId="0" borderId="3" xfId="0" applyNumberFormat="1" applyFont="1" applyBorder="1" applyAlignment="1">
      <alignment horizontal="left"/>
    </xf>
    <xf numFmtId="1" fontId="17" fillId="0" borderId="2" xfId="0" applyNumberFormat="1" applyFont="1" applyBorder="1" applyAlignment="1">
      <alignment horizontal="left"/>
    </xf>
    <xf numFmtId="2" fontId="17" fillId="0" borderId="4" xfId="0" applyNumberFormat="1" applyFont="1" applyBorder="1" applyAlignment="1">
      <alignment horizontal="left"/>
    </xf>
    <xf numFmtId="1" fontId="17" fillId="0" borderId="4" xfId="0" applyNumberFormat="1" applyFont="1" applyBorder="1" applyAlignment="1">
      <alignment horizontal="left"/>
    </xf>
    <xf numFmtId="1" fontId="17" fillId="0" borderId="1" xfId="0" applyNumberFormat="1" applyFont="1" applyBorder="1" applyAlignment="1">
      <alignment horizontal="left"/>
    </xf>
    <xf numFmtId="1" fontId="17" fillId="0" borderId="4" xfId="2" applyNumberFormat="1" applyFont="1" applyBorder="1" applyAlignment="1">
      <alignment horizontal="left"/>
    </xf>
    <xf numFmtId="1" fontId="17" fillId="0" borderId="3" xfId="2" applyNumberFormat="1" applyFont="1" applyBorder="1" applyAlignment="1">
      <alignment horizontal="left"/>
    </xf>
    <xf numFmtId="2" fontId="17" fillId="0" borderId="4" xfId="0" applyNumberFormat="1" applyFont="1" applyBorder="1" applyAlignment="1">
      <alignment horizontal="left" wrapText="1"/>
    </xf>
    <xf numFmtId="1" fontId="17" fillId="0" borderId="4" xfId="0" applyNumberFormat="1" applyFont="1" applyFill="1" applyBorder="1" applyAlignment="1">
      <alignment horizontal="left"/>
    </xf>
    <xf numFmtId="1" fontId="17" fillId="0" borderId="3" xfId="0" applyNumberFormat="1" applyFont="1" applyFill="1" applyBorder="1" applyAlignment="1">
      <alignment horizontal="left"/>
    </xf>
    <xf numFmtId="1" fontId="17" fillId="0" borderId="4" xfId="1" applyNumberFormat="1" applyFont="1" applyBorder="1" applyAlignment="1">
      <alignment horizontal="left"/>
    </xf>
    <xf numFmtId="1" fontId="17" fillId="0" borderId="3" xfId="1" applyNumberFormat="1" applyFont="1" applyBorder="1" applyAlignment="1">
      <alignment horizontal="left"/>
    </xf>
    <xf numFmtId="1" fontId="16" fillId="0" borderId="4" xfId="1" applyNumberFormat="1" applyFont="1" applyBorder="1" applyAlignment="1">
      <alignment horizontal="left"/>
    </xf>
    <xf numFmtId="1" fontId="16" fillId="0" borderId="3" xfId="1" applyNumberFormat="1" applyFont="1" applyBorder="1" applyAlignment="1">
      <alignment horizontal="left"/>
    </xf>
    <xf numFmtId="1" fontId="16" fillId="0" borderId="3" xfId="0" applyNumberFormat="1" applyFont="1" applyBorder="1" applyAlignment="1">
      <alignment horizontal="left"/>
    </xf>
    <xf numFmtId="1" fontId="16" fillId="0" borderId="2" xfId="0" applyNumberFormat="1" applyFont="1" applyBorder="1" applyAlignment="1">
      <alignment horizontal="left"/>
    </xf>
    <xf numFmtId="2" fontId="16" fillId="0" borderId="4" xfId="0" applyNumberFormat="1" applyFont="1" applyBorder="1" applyAlignment="1">
      <alignment horizontal="left"/>
    </xf>
    <xf numFmtId="1" fontId="16" fillId="0" borderId="4" xfId="0" applyNumberFormat="1" applyFont="1" applyBorder="1" applyAlignment="1">
      <alignment horizontal="left"/>
    </xf>
    <xf numFmtId="1" fontId="16" fillId="0" borderId="1" xfId="0" applyNumberFormat="1" applyFont="1" applyBorder="1" applyAlignment="1">
      <alignment horizontal="left"/>
    </xf>
    <xf numFmtId="1" fontId="2" fillId="0" borderId="3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17" fillId="0" borderId="0" xfId="0" applyNumberFormat="1" applyFont="1" applyAlignment="1">
      <alignment horizontal="left"/>
    </xf>
    <xf numFmtId="2" fontId="16" fillId="0" borderId="3" xfId="0" applyNumberFormat="1" applyFont="1" applyBorder="1" applyAlignment="1">
      <alignment horizontal="left" vertical="center"/>
    </xf>
    <xf numFmtId="2" fontId="17" fillId="0" borderId="5" xfId="0" applyNumberFormat="1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1" fontId="17" fillId="0" borderId="7" xfId="0" applyNumberFormat="1" applyFont="1" applyBorder="1" applyAlignment="1">
      <alignment horizontal="left" vertical="center"/>
    </xf>
    <xf numFmtId="1" fontId="17" fillId="0" borderId="5" xfId="0" applyNumberFormat="1" applyFont="1" applyBorder="1" applyAlignment="1">
      <alignment horizontal="left" vertical="center"/>
    </xf>
    <xf numFmtId="1" fontId="17" fillId="0" borderId="8" xfId="0" applyNumberFormat="1" applyFont="1" applyBorder="1" applyAlignment="1">
      <alignment horizontal="left"/>
    </xf>
    <xf numFmtId="1" fontId="17" fillId="0" borderId="5" xfId="0" applyNumberFormat="1" applyFont="1" applyBorder="1" applyAlignment="1">
      <alignment horizontal="left"/>
    </xf>
    <xf numFmtId="1" fontId="17" fillId="0" borderId="9" xfId="0" applyNumberFormat="1" applyFont="1" applyBorder="1" applyAlignment="1">
      <alignment horizontal="left"/>
    </xf>
    <xf numFmtId="1" fontId="17" fillId="0" borderId="7" xfId="0" applyNumberFormat="1" applyFont="1" applyBorder="1" applyAlignment="1">
      <alignment horizontal="left"/>
    </xf>
    <xf numFmtId="2" fontId="17" fillId="0" borderId="9" xfId="0" applyNumberFormat="1" applyFont="1" applyBorder="1" applyAlignment="1">
      <alignment horizontal="left"/>
    </xf>
    <xf numFmtId="1" fontId="17" fillId="0" borderId="7" xfId="2" applyNumberFormat="1" applyFont="1" applyBorder="1" applyAlignment="1">
      <alignment horizontal="left"/>
    </xf>
    <xf numFmtId="1" fontId="17" fillId="0" borderId="8" xfId="0" applyNumberFormat="1" applyFont="1" applyFill="1" applyBorder="1" applyAlignment="1">
      <alignment horizontal="left"/>
    </xf>
    <xf numFmtId="1" fontId="16" fillId="0" borderId="10" xfId="0" applyNumberFormat="1" applyFont="1" applyBorder="1" applyAlignment="1">
      <alignment horizontal="left"/>
    </xf>
    <xf numFmtId="2" fontId="17" fillId="0" borderId="0" xfId="0" applyNumberFormat="1" applyFont="1" applyAlignment="1">
      <alignment horizontal="left"/>
    </xf>
    <xf numFmtId="1" fontId="17" fillId="0" borderId="2" xfId="0" applyNumberFormat="1" applyFont="1" applyBorder="1" applyAlignment="1">
      <alignment horizontal="left" vertical="center"/>
    </xf>
    <xf numFmtId="1" fontId="17" fillId="0" borderId="2" xfId="2" applyNumberFormat="1" applyFont="1" applyBorder="1" applyAlignment="1">
      <alignment horizontal="left"/>
    </xf>
    <xf numFmtId="1" fontId="16" fillId="0" borderId="11" xfId="0" applyNumberFormat="1" applyFont="1" applyBorder="1" applyAlignment="1">
      <alignment horizontal="left"/>
    </xf>
    <xf numFmtId="1" fontId="16" fillId="0" borderId="12" xfId="0" applyNumberFormat="1" applyFont="1" applyBorder="1" applyAlignment="1">
      <alignment horizontal="left"/>
    </xf>
    <xf numFmtId="1" fontId="16" fillId="0" borderId="13" xfId="0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2" fontId="17" fillId="0" borderId="3" xfId="0" applyNumberFormat="1" applyFont="1" applyBorder="1" applyAlignment="1">
      <alignment horizontal="left" vertical="center"/>
    </xf>
    <xf numFmtId="2" fontId="22" fillId="0" borderId="2" xfId="0" applyNumberFormat="1" applyFont="1" applyBorder="1" applyAlignment="1">
      <alignment horizontal="left"/>
    </xf>
    <xf numFmtId="2" fontId="22" fillId="0" borderId="3" xfId="0" applyNumberFormat="1" applyFont="1" applyBorder="1" applyAlignment="1">
      <alignment horizontal="left"/>
    </xf>
    <xf numFmtId="2" fontId="22" fillId="0" borderId="14" xfId="0" applyNumberFormat="1" applyFont="1" applyBorder="1" applyAlignment="1">
      <alignment horizontal="left"/>
    </xf>
    <xf numFmtId="2" fontId="22" fillId="0" borderId="1" xfId="0" applyNumberFormat="1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2" fontId="22" fillId="0" borderId="4" xfId="0" applyNumberFormat="1" applyFont="1" applyBorder="1" applyAlignment="1">
      <alignment horizontal="left"/>
    </xf>
    <xf numFmtId="172" fontId="19" fillId="0" borderId="3" xfId="0" applyNumberFormat="1" applyFont="1" applyBorder="1" applyAlignment="1">
      <alignment horizontal="left"/>
    </xf>
    <xf numFmtId="2" fontId="22" fillId="0" borderId="2" xfId="0" applyNumberFormat="1" applyFont="1" applyFill="1" applyBorder="1" applyAlignment="1">
      <alignment horizontal="left"/>
    </xf>
    <xf numFmtId="2" fontId="22" fillId="0" borderId="3" xfId="0" applyNumberFormat="1" applyFont="1" applyFill="1" applyBorder="1" applyAlignment="1">
      <alignment horizontal="left"/>
    </xf>
    <xf numFmtId="2" fontId="22" fillId="0" borderId="3" xfId="1" applyNumberFormat="1" applyFont="1" applyBorder="1" applyAlignment="1">
      <alignment horizontal="left"/>
    </xf>
    <xf numFmtId="2" fontId="23" fillId="0" borderId="4" xfId="0" applyNumberFormat="1" applyFont="1" applyBorder="1" applyAlignment="1">
      <alignment horizontal="left"/>
    </xf>
    <xf numFmtId="2" fontId="22" fillId="0" borderId="2" xfId="1" applyNumberFormat="1" applyFont="1" applyBorder="1" applyAlignment="1">
      <alignment horizontal="left"/>
    </xf>
    <xf numFmtId="2" fontId="23" fillId="0" borderId="2" xfId="0" applyNumberFormat="1" applyFont="1" applyBorder="1" applyAlignment="1">
      <alignment horizontal="left"/>
    </xf>
    <xf numFmtId="3" fontId="19" fillId="0" borderId="3" xfId="0" applyNumberFormat="1" applyFont="1" applyBorder="1" applyAlignment="1">
      <alignment horizontal="left"/>
    </xf>
    <xf numFmtId="2" fontId="16" fillId="0" borderId="2" xfId="0" applyNumberFormat="1" applyFont="1" applyBorder="1" applyAlignment="1">
      <alignment horizontal="left" vertical="center"/>
    </xf>
    <xf numFmtId="2" fontId="23" fillId="0" borderId="3" xfId="0" applyNumberFormat="1" applyFont="1" applyBorder="1" applyAlignment="1">
      <alignment horizontal="left"/>
    </xf>
    <xf numFmtId="2" fontId="21" fillId="0" borderId="0" xfId="0" applyNumberFormat="1" applyFont="1" applyAlignment="1">
      <alignment horizontal="left"/>
    </xf>
    <xf numFmtId="2" fontId="16" fillId="0" borderId="2" xfId="2" applyNumberFormat="1" applyFont="1" applyBorder="1" applyAlignment="1">
      <alignment horizontal="left"/>
    </xf>
    <xf numFmtId="2" fontId="16" fillId="0" borderId="3" xfId="2" applyNumberFormat="1" applyFont="1" applyBorder="1" applyAlignment="1">
      <alignment horizontal="left"/>
    </xf>
    <xf numFmtId="0" fontId="16" fillId="0" borderId="0" xfId="0" applyFont="1"/>
    <xf numFmtId="0" fontId="24" fillId="0" borderId="0" xfId="0" applyFont="1" applyAlignment="1">
      <alignment horizontal="left"/>
    </xf>
    <xf numFmtId="2" fontId="16" fillId="0" borderId="4" xfId="0" applyNumberFormat="1" applyFont="1" applyBorder="1" applyAlignment="1">
      <alignment horizontal="left" vertical="center"/>
    </xf>
    <xf numFmtId="2" fontId="16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left"/>
    </xf>
    <xf numFmtId="2" fontId="16" fillId="0" borderId="14" xfId="0" applyNumberFormat="1" applyFont="1" applyBorder="1" applyAlignment="1">
      <alignment horizontal="left"/>
    </xf>
    <xf numFmtId="2" fontId="16" fillId="0" borderId="3" xfId="0" applyNumberFormat="1" applyFont="1" applyFill="1" applyBorder="1" applyAlignment="1">
      <alignment horizontal="left"/>
    </xf>
    <xf numFmtId="2" fontId="16" fillId="0" borderId="2" xfId="1" applyNumberFormat="1" applyFont="1" applyBorder="1" applyAlignment="1">
      <alignment horizontal="left"/>
    </xf>
    <xf numFmtId="2" fontId="16" fillId="0" borderId="3" xfId="1" applyNumberFormat="1" applyFont="1" applyBorder="1" applyAlignment="1">
      <alignment horizontal="left"/>
    </xf>
    <xf numFmtId="2" fontId="2" fillId="0" borderId="4" xfId="0" applyNumberFormat="1" applyFont="1" applyBorder="1" applyAlignment="1">
      <alignment horizontal="left"/>
    </xf>
    <xf numFmtId="2" fontId="2" fillId="0" borderId="3" xfId="0" applyNumberFormat="1" applyFont="1" applyBorder="1" applyAlignment="1">
      <alignment horizontal="left"/>
    </xf>
    <xf numFmtId="2" fontId="16" fillId="0" borderId="2" xfId="0" applyNumberFormat="1" applyFont="1" applyBorder="1" applyAlignment="1">
      <alignment horizontal="left" wrapText="1"/>
    </xf>
    <xf numFmtId="0" fontId="25" fillId="0" borderId="15" xfId="0" applyFont="1" applyBorder="1" applyAlignment="1">
      <alignment horizontal="left"/>
    </xf>
    <xf numFmtId="0" fontId="21" fillId="0" borderId="0" xfId="0" applyFont="1"/>
    <xf numFmtId="0" fontId="19" fillId="0" borderId="16" xfId="0" applyFont="1" applyBorder="1" applyAlignment="1">
      <alignment horizontal="left"/>
    </xf>
    <xf numFmtId="1" fontId="24" fillId="0" borderId="2" xfId="0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left"/>
    </xf>
    <xf numFmtId="0" fontId="26" fillId="0" borderId="0" xfId="0" applyFont="1" applyAlignment="1">
      <alignment horizontal="left"/>
    </xf>
    <xf numFmtId="2" fontId="26" fillId="0" borderId="2" xfId="0" applyNumberFormat="1" applyFont="1" applyBorder="1" applyAlignment="1">
      <alignment horizontal="left"/>
    </xf>
    <xf numFmtId="2" fontId="26" fillId="0" borderId="3" xfId="0" applyNumberFormat="1" applyFont="1" applyBorder="1" applyAlignment="1">
      <alignment horizontal="left"/>
    </xf>
    <xf numFmtId="2" fontId="26" fillId="0" borderId="1" xfId="0" applyNumberFormat="1" applyFont="1" applyBorder="1" applyAlignment="1">
      <alignment horizontal="left"/>
    </xf>
    <xf numFmtId="2" fontId="26" fillId="0" borderId="14" xfId="0" applyNumberFormat="1" applyFont="1" applyBorder="1" applyAlignment="1">
      <alignment horizontal="left"/>
    </xf>
    <xf numFmtId="1" fontId="26" fillId="0" borderId="2" xfId="0" applyNumberFormat="1" applyFont="1" applyBorder="1" applyAlignment="1">
      <alignment horizontal="left"/>
    </xf>
    <xf numFmtId="1" fontId="26" fillId="0" borderId="3" xfId="0" applyNumberFormat="1" applyFont="1" applyBorder="1" applyAlignment="1">
      <alignment horizontal="left"/>
    </xf>
    <xf numFmtId="1" fontId="26" fillId="0" borderId="1" xfId="0" applyNumberFormat="1" applyFont="1" applyBorder="1" applyAlignment="1">
      <alignment horizontal="left"/>
    </xf>
    <xf numFmtId="2" fontId="26" fillId="0" borderId="2" xfId="2" applyNumberFormat="1" applyFont="1" applyBorder="1" applyAlignment="1">
      <alignment horizontal="left"/>
    </xf>
    <xf numFmtId="2" fontId="26" fillId="0" borderId="3" xfId="2" applyNumberFormat="1" applyFont="1" applyBorder="1" applyAlignment="1">
      <alignment horizontal="left"/>
    </xf>
    <xf numFmtId="2" fontId="26" fillId="0" borderId="2" xfId="0" applyNumberFormat="1" applyFont="1" applyBorder="1" applyAlignment="1">
      <alignment horizontal="left" wrapText="1"/>
    </xf>
    <xf numFmtId="2" fontId="26" fillId="0" borderId="3" xfId="1" applyNumberFormat="1" applyFont="1" applyBorder="1" applyAlignment="1">
      <alignment horizontal="left"/>
    </xf>
    <xf numFmtId="2" fontId="24" fillId="0" borderId="2" xfId="0" applyNumberFormat="1" applyFont="1" applyBorder="1" applyAlignment="1">
      <alignment horizontal="left"/>
    </xf>
    <xf numFmtId="2" fontId="24" fillId="0" borderId="17" xfId="0" applyNumberFormat="1" applyFont="1" applyBorder="1" applyAlignment="1">
      <alignment horizontal="left"/>
    </xf>
    <xf numFmtId="2" fontId="24" fillId="0" borderId="3" xfId="0" applyNumberFormat="1" applyFont="1" applyBorder="1" applyAlignment="1">
      <alignment horizontal="left"/>
    </xf>
    <xf numFmtId="1" fontId="26" fillId="0" borderId="3" xfId="0" applyNumberFormat="1" applyFont="1" applyBorder="1" applyAlignment="1">
      <alignment horizontal="left" vertical="center"/>
    </xf>
    <xf numFmtId="1" fontId="26" fillId="0" borderId="14" xfId="0" applyNumberFormat="1" applyFont="1" applyBorder="1" applyAlignment="1">
      <alignment horizontal="left"/>
    </xf>
    <xf numFmtId="1" fontId="26" fillId="0" borderId="0" xfId="0" applyNumberFormat="1" applyFont="1" applyBorder="1" applyAlignment="1">
      <alignment horizontal="left"/>
    </xf>
    <xf numFmtId="1" fontId="26" fillId="0" borderId="18" xfId="0" applyNumberFormat="1" applyFont="1" applyBorder="1" applyAlignment="1">
      <alignment horizontal="left"/>
    </xf>
    <xf numFmtId="1" fontId="26" fillId="0" borderId="6" xfId="0" applyNumberFormat="1" applyFont="1" applyBorder="1" applyAlignment="1">
      <alignment horizontal="left"/>
    </xf>
    <xf numFmtId="1" fontId="26" fillId="0" borderId="3" xfId="0" applyNumberFormat="1" applyFont="1" applyFill="1" applyBorder="1" applyAlignment="1">
      <alignment horizontal="left"/>
    </xf>
    <xf numFmtId="1" fontId="26" fillId="0" borderId="2" xfId="1" applyNumberFormat="1" applyFont="1" applyBorder="1" applyAlignment="1">
      <alignment horizontal="left"/>
    </xf>
    <xf numFmtId="1" fontId="26" fillId="0" borderId="3" xfId="1" applyNumberFormat="1" applyFont="1" applyBorder="1" applyAlignment="1">
      <alignment horizontal="left"/>
    </xf>
    <xf numFmtId="1" fontId="26" fillId="0" borderId="1" xfId="1" applyNumberFormat="1" applyFont="1" applyBorder="1" applyAlignment="1">
      <alignment horizontal="left"/>
    </xf>
    <xf numFmtId="1" fontId="24" fillId="0" borderId="2" xfId="0" applyNumberFormat="1" applyFont="1" applyBorder="1" applyAlignment="1">
      <alignment horizontal="left"/>
    </xf>
    <xf numFmtId="1" fontId="24" fillId="0" borderId="16" xfId="0" applyNumberFormat="1" applyFont="1" applyBorder="1" applyAlignment="1">
      <alignment horizontal="left"/>
    </xf>
    <xf numFmtId="0" fontId="27" fillId="0" borderId="16" xfId="0" applyFont="1" applyBorder="1" applyAlignment="1">
      <alignment horizontal="left"/>
    </xf>
    <xf numFmtId="1" fontId="24" fillId="0" borderId="4" xfId="0" applyNumberFormat="1" applyFont="1" applyBorder="1" applyAlignment="1">
      <alignment horizontal="left" vertical="center"/>
    </xf>
    <xf numFmtId="1" fontId="24" fillId="0" borderId="3" xfId="0" applyNumberFormat="1" applyFont="1" applyBorder="1" applyAlignment="1">
      <alignment horizontal="left"/>
    </xf>
    <xf numFmtId="1" fontId="24" fillId="0" borderId="1" xfId="0" applyNumberFormat="1" applyFont="1" applyBorder="1" applyAlignment="1">
      <alignment horizontal="left"/>
    </xf>
    <xf numFmtId="1" fontId="24" fillId="0" borderId="14" xfId="0" applyNumberFormat="1" applyFont="1" applyBorder="1" applyAlignment="1">
      <alignment horizontal="left"/>
    </xf>
    <xf numFmtId="1" fontId="21" fillId="0" borderId="0" xfId="0" applyNumberFormat="1" applyFont="1" applyAlignment="1">
      <alignment horizontal="left"/>
    </xf>
    <xf numFmtId="2" fontId="26" fillId="0" borderId="2" xfId="0" applyNumberFormat="1" applyFont="1" applyBorder="1" applyAlignment="1">
      <alignment horizontal="left" vertical="center"/>
    </xf>
    <xf numFmtId="2" fontId="26" fillId="0" borderId="4" xfId="0" applyNumberFormat="1" applyFont="1" applyBorder="1" applyAlignment="1">
      <alignment horizontal="left"/>
    </xf>
    <xf numFmtId="1" fontId="26" fillId="0" borderId="4" xfId="0" applyNumberFormat="1" applyFont="1" applyBorder="1" applyAlignment="1">
      <alignment horizontal="left"/>
    </xf>
    <xf numFmtId="1" fontId="24" fillId="0" borderId="4" xfId="0" applyNumberFormat="1" applyFont="1" applyBorder="1" applyAlignment="1">
      <alignment horizontal="left"/>
    </xf>
    <xf numFmtId="1" fontId="24" fillId="0" borderId="19" xfId="0" applyNumberFormat="1" applyFont="1" applyBorder="1" applyAlignment="1">
      <alignment horizontal="left"/>
    </xf>
    <xf numFmtId="1" fontId="24" fillId="0" borderId="17" xfId="0" applyNumberFormat="1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2" fontId="24" fillId="0" borderId="2" xfId="0" applyNumberFormat="1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26" fillId="0" borderId="20" xfId="0" applyNumberFormat="1" applyFont="1" applyBorder="1" applyAlignment="1">
      <alignment horizontal="left" vertical="center"/>
    </xf>
    <xf numFmtId="2" fontId="26" fillId="0" borderId="21" xfId="0" applyNumberFormat="1" applyFont="1" applyBorder="1" applyAlignment="1">
      <alignment horizontal="left"/>
    </xf>
    <xf numFmtId="1" fontId="26" fillId="0" borderId="22" xfId="0" applyNumberFormat="1" applyFont="1" applyBorder="1" applyAlignment="1">
      <alignment horizontal="left"/>
    </xf>
    <xf numFmtId="1" fontId="26" fillId="0" borderId="23" xfId="0" applyNumberFormat="1" applyFont="1" applyBorder="1" applyAlignment="1">
      <alignment horizontal="left"/>
    </xf>
    <xf numFmtId="1" fontId="26" fillId="0" borderId="21" xfId="0" applyNumberFormat="1" applyFont="1" applyBorder="1" applyAlignment="1">
      <alignment horizontal="left"/>
    </xf>
    <xf numFmtId="2" fontId="26" fillId="0" borderId="22" xfId="0" applyNumberFormat="1" applyFont="1" applyBorder="1" applyAlignment="1">
      <alignment horizontal="left"/>
    </xf>
    <xf numFmtId="2" fontId="26" fillId="0" borderId="20" xfId="0" applyNumberFormat="1" applyFont="1" applyBorder="1" applyAlignment="1">
      <alignment horizontal="left"/>
    </xf>
    <xf numFmtId="1" fontId="26" fillId="0" borderId="20" xfId="0" applyNumberFormat="1" applyFont="1" applyBorder="1" applyAlignment="1">
      <alignment horizontal="left"/>
    </xf>
    <xf numFmtId="1" fontId="26" fillId="0" borderId="24" xfId="0" applyNumberFormat="1" applyFont="1" applyBorder="1" applyAlignment="1">
      <alignment horizontal="left"/>
    </xf>
    <xf numFmtId="2" fontId="26" fillId="0" borderId="20" xfId="2" applyNumberFormat="1" applyFont="1" applyBorder="1" applyAlignment="1">
      <alignment horizontal="left"/>
    </xf>
    <xf numFmtId="2" fontId="26" fillId="0" borderId="21" xfId="2" applyNumberFormat="1" applyFont="1" applyBorder="1" applyAlignment="1">
      <alignment horizontal="left"/>
    </xf>
    <xf numFmtId="2" fontId="26" fillId="0" borderId="20" xfId="0" applyNumberFormat="1" applyFont="1" applyBorder="1" applyAlignment="1">
      <alignment horizontal="left" wrapText="1"/>
    </xf>
    <xf numFmtId="1" fontId="26" fillId="0" borderId="21" xfId="0" applyNumberFormat="1" applyFont="1" applyFill="1" applyBorder="1" applyAlignment="1">
      <alignment horizontal="left"/>
    </xf>
    <xf numFmtId="1" fontId="26" fillId="0" borderId="20" xfId="1" applyNumberFormat="1" applyFont="1" applyBorder="1" applyAlignment="1">
      <alignment horizontal="left"/>
    </xf>
    <xf numFmtId="1" fontId="26" fillId="0" borderId="21" xfId="1" applyNumberFormat="1" applyFont="1" applyBorder="1" applyAlignment="1">
      <alignment horizontal="left"/>
    </xf>
    <xf numFmtId="1" fontId="24" fillId="0" borderId="20" xfId="0" applyNumberFormat="1" applyFont="1" applyBorder="1" applyAlignment="1">
      <alignment horizontal="left"/>
    </xf>
    <xf numFmtId="1" fontId="24" fillId="0" borderId="23" xfId="0" applyNumberFormat="1" applyFont="1" applyBorder="1" applyAlignment="1">
      <alignment horizontal="left"/>
    </xf>
    <xf numFmtId="1" fontId="24" fillId="0" borderId="25" xfId="0" applyNumberFormat="1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26" fillId="0" borderId="27" xfId="0" applyFont="1" applyBorder="1" applyAlignment="1">
      <alignment horizontal="left"/>
    </xf>
    <xf numFmtId="0" fontId="26" fillId="0" borderId="28" xfId="0" applyFont="1" applyBorder="1" applyAlignment="1">
      <alignment horizontal="left"/>
    </xf>
    <xf numFmtId="1" fontId="26" fillId="0" borderId="28" xfId="0" applyNumberFormat="1" applyFont="1" applyBorder="1" applyAlignment="1">
      <alignment horizontal="left"/>
    </xf>
    <xf numFmtId="1" fontId="26" fillId="0" borderId="27" xfId="0" applyNumberFormat="1" applyFont="1" applyBorder="1" applyAlignment="1">
      <alignment horizontal="left"/>
    </xf>
    <xf numFmtId="1" fontId="26" fillId="0" borderId="26" xfId="0" applyNumberFormat="1" applyFont="1" applyBorder="1" applyAlignment="1">
      <alignment horizontal="left"/>
    </xf>
    <xf numFmtId="1" fontId="24" fillId="0" borderId="29" xfId="0" applyNumberFormat="1" applyFont="1" applyBorder="1" applyAlignment="1">
      <alignment horizontal="left"/>
    </xf>
    <xf numFmtId="1" fontId="24" fillId="0" borderId="30" xfId="0" applyNumberFormat="1" applyFont="1" applyBorder="1" applyAlignment="1">
      <alignment horizontal="left"/>
    </xf>
    <xf numFmtId="1" fontId="24" fillId="0" borderId="28" xfId="0" applyNumberFormat="1" applyFont="1" applyBorder="1" applyAlignment="1">
      <alignment horizontal="left"/>
    </xf>
    <xf numFmtId="0" fontId="26" fillId="0" borderId="18" xfId="0" applyFont="1" applyBorder="1" applyAlignment="1">
      <alignment horizontal="left"/>
    </xf>
    <xf numFmtId="1" fontId="26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left"/>
    </xf>
    <xf numFmtId="0" fontId="27" fillId="0" borderId="31" xfId="0" applyFont="1" applyBorder="1" applyAlignment="1">
      <alignment horizontal="left"/>
    </xf>
    <xf numFmtId="0" fontId="15" fillId="0" borderId="0" xfId="0" applyFont="1"/>
    <xf numFmtId="0" fontId="27" fillId="0" borderId="32" xfId="0" applyFont="1" applyBorder="1" applyAlignment="1">
      <alignment horizontal="left"/>
    </xf>
    <xf numFmtId="0" fontId="24" fillId="0" borderId="7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1" fontId="24" fillId="0" borderId="9" xfId="0" applyNumberFormat="1" applyFont="1" applyBorder="1" applyAlignment="1">
      <alignment horizontal="left" vertical="center"/>
    </xf>
    <xf numFmtId="1" fontId="24" fillId="0" borderId="8" xfId="0" applyNumberFormat="1" applyFont="1" applyBorder="1" applyAlignment="1">
      <alignment horizontal="left" vertical="center"/>
    </xf>
    <xf numFmtId="1" fontId="24" fillId="0" borderId="5" xfId="0" applyNumberFormat="1" applyFont="1" applyBorder="1" applyAlignment="1">
      <alignment horizontal="left" vertical="center"/>
    </xf>
    <xf numFmtId="0" fontId="24" fillId="0" borderId="33" xfId="0" applyFont="1" applyBorder="1" applyAlignment="1">
      <alignment horizontal="left" vertical="center"/>
    </xf>
    <xf numFmtId="1" fontId="24" fillId="0" borderId="7" xfId="0" applyNumberFormat="1" applyFont="1" applyBorder="1" applyAlignment="1">
      <alignment horizontal="left" vertical="center"/>
    </xf>
    <xf numFmtId="1" fontId="24" fillId="0" borderId="33" xfId="0" applyNumberFormat="1" applyFont="1" applyBorder="1" applyAlignment="1">
      <alignment horizontal="left" vertical="center"/>
    </xf>
    <xf numFmtId="1" fontId="26" fillId="0" borderId="0" xfId="0" applyNumberFormat="1" applyFont="1"/>
    <xf numFmtId="1" fontId="19" fillId="0" borderId="14" xfId="0" applyNumberFormat="1" applyFont="1" applyBorder="1" applyAlignment="1">
      <alignment horizontal="left"/>
    </xf>
    <xf numFmtId="1" fontId="27" fillId="0" borderId="14" xfId="0" applyNumberFormat="1" applyFont="1" applyBorder="1" applyAlignment="1">
      <alignment horizontal="left"/>
    </xf>
    <xf numFmtId="1" fontId="19" fillId="0" borderId="34" xfId="0" applyNumberFormat="1" applyFont="1" applyBorder="1" applyAlignment="1">
      <alignment horizontal="left"/>
    </xf>
    <xf numFmtId="1" fontId="22" fillId="0" borderId="2" xfId="0" applyNumberFormat="1" applyFont="1" applyBorder="1" applyAlignment="1">
      <alignment horizontal="left" vertical="center"/>
    </xf>
    <xf numFmtId="1" fontId="22" fillId="0" borderId="4" xfId="0" applyNumberFormat="1" applyFont="1" applyBorder="1" applyAlignment="1">
      <alignment horizontal="left"/>
    </xf>
    <xf numFmtId="1" fontId="22" fillId="0" borderId="1" xfId="0" applyNumberFormat="1" applyFont="1" applyBorder="1" applyAlignment="1">
      <alignment horizontal="left"/>
    </xf>
    <xf numFmtId="1" fontId="27" fillId="0" borderId="3" xfId="0" applyNumberFormat="1" applyFont="1" applyBorder="1" applyAlignment="1">
      <alignment horizontal="left"/>
    </xf>
    <xf numFmtId="1" fontId="22" fillId="0" borderId="1" xfId="0" applyNumberFormat="1" applyFont="1" applyFill="1" applyBorder="1" applyAlignment="1">
      <alignment horizontal="left"/>
    </xf>
    <xf numFmtId="1" fontId="22" fillId="0" borderId="1" xfId="1" applyNumberFormat="1" applyFont="1" applyBorder="1" applyAlignment="1">
      <alignment horizontal="left"/>
    </xf>
    <xf numFmtId="1" fontId="22" fillId="0" borderId="2" xfId="0" applyNumberFormat="1" applyFont="1" applyBorder="1" applyAlignment="1">
      <alignment horizontal="left"/>
    </xf>
    <xf numFmtId="1" fontId="23" fillId="0" borderId="2" xfId="0" applyNumberFormat="1" applyFont="1" applyBorder="1" applyAlignment="1">
      <alignment horizontal="left" vertical="center"/>
    </xf>
    <xf numFmtId="1" fontId="21" fillId="0" borderId="0" xfId="0" applyNumberFormat="1" applyFont="1" applyBorder="1" applyAlignment="1">
      <alignment horizontal="left"/>
    </xf>
    <xf numFmtId="1" fontId="23" fillId="0" borderId="4" xfId="0" applyNumberFormat="1" applyFont="1" applyBorder="1" applyAlignment="1">
      <alignment horizontal="left"/>
    </xf>
    <xf numFmtId="1" fontId="23" fillId="0" borderId="1" xfId="0" applyNumberFormat="1" applyFont="1" applyBorder="1" applyAlignment="1">
      <alignment horizontal="left"/>
    </xf>
    <xf numFmtId="1" fontId="19" fillId="0" borderId="35" xfId="0" applyNumberFormat="1" applyFont="1" applyBorder="1" applyAlignment="1">
      <alignment horizontal="left"/>
    </xf>
    <xf numFmtId="1" fontId="22" fillId="0" borderId="22" xfId="0" applyNumberFormat="1" applyFont="1" applyBorder="1" applyAlignment="1">
      <alignment horizontal="left"/>
    </xf>
    <xf numFmtId="1" fontId="22" fillId="0" borderId="20" xfId="0" applyNumberFormat="1" applyFont="1" applyBorder="1" applyAlignment="1">
      <alignment horizontal="left" vertical="center"/>
    </xf>
    <xf numFmtId="1" fontId="22" fillId="0" borderId="23" xfId="0" applyNumberFormat="1" applyFont="1" applyBorder="1" applyAlignment="1">
      <alignment horizontal="left"/>
    </xf>
    <xf numFmtId="1" fontId="20" fillId="0" borderId="15" xfId="0" applyNumberFormat="1" applyFont="1" applyBorder="1" applyAlignment="1">
      <alignment horizontal="left"/>
    </xf>
    <xf numFmtId="1" fontId="20" fillId="0" borderId="3" xfId="0" applyNumberFormat="1" applyFont="1" applyBorder="1" applyAlignment="1">
      <alignment horizontal="left"/>
    </xf>
    <xf numFmtId="1" fontId="17" fillId="0" borderId="2" xfId="1" applyNumberFormat="1" applyFont="1" applyBorder="1" applyAlignment="1">
      <alignment horizontal="left"/>
    </xf>
    <xf numFmtId="2" fontId="17" fillId="0" borderId="14" xfId="0" applyNumberFormat="1" applyFont="1" applyBorder="1" applyAlignment="1">
      <alignment horizontal="left"/>
    </xf>
    <xf numFmtId="2" fontId="17" fillId="0" borderId="2" xfId="2" applyNumberFormat="1" applyFont="1" applyBorder="1" applyAlignment="1">
      <alignment horizontal="left"/>
    </xf>
    <xf numFmtId="1" fontId="17" fillId="0" borderId="0" xfId="0" applyNumberFormat="1" applyFont="1" applyFill="1" applyAlignment="1">
      <alignment horizontal="left"/>
    </xf>
    <xf numFmtId="1" fontId="17" fillId="0" borderId="0" xfId="0" applyNumberFormat="1" applyFont="1"/>
    <xf numFmtId="0" fontId="24" fillId="0" borderId="36" xfId="0" applyFont="1" applyBorder="1" applyAlignment="1">
      <alignment horizontal="left" vertical="center"/>
    </xf>
    <xf numFmtId="0" fontId="24" fillId="0" borderId="37" xfId="0" applyFont="1" applyBorder="1" applyAlignment="1">
      <alignment horizontal="left" vertical="center"/>
    </xf>
    <xf numFmtId="0" fontId="24" fillId="0" borderId="38" xfId="0" applyFont="1" applyBorder="1" applyAlignment="1">
      <alignment horizontal="left" vertical="center"/>
    </xf>
    <xf numFmtId="1" fontId="19" fillId="0" borderId="3" xfId="0" applyNumberFormat="1" applyFont="1" applyBorder="1" applyAlignment="1">
      <alignment horizontal="left"/>
    </xf>
    <xf numFmtId="0" fontId="24" fillId="0" borderId="39" xfId="0" applyFont="1" applyBorder="1" applyAlignment="1">
      <alignment horizontal="left" vertical="center"/>
    </xf>
    <xf numFmtId="1" fontId="19" fillId="0" borderId="36" xfId="0" applyNumberFormat="1" applyFont="1" applyBorder="1" applyAlignment="1">
      <alignment horizontal="left"/>
    </xf>
    <xf numFmtId="1" fontId="19" fillId="0" borderId="2" xfId="0" applyNumberFormat="1" applyFont="1" applyBorder="1" applyAlignment="1">
      <alignment horizontal="left"/>
    </xf>
    <xf numFmtId="1" fontId="26" fillId="0" borderId="13" xfId="0" applyNumberFormat="1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6" fillId="0" borderId="40" xfId="0" applyFont="1" applyBorder="1" applyAlignment="1">
      <alignment horizontal="left"/>
    </xf>
    <xf numFmtId="2" fontId="17" fillId="0" borderId="4" xfId="0" applyNumberFormat="1" applyFont="1" applyBorder="1" applyAlignment="1">
      <alignment horizontal="left" vertical="center"/>
    </xf>
    <xf numFmtId="0" fontId="19" fillId="0" borderId="41" xfId="0" applyFont="1" applyBorder="1" applyAlignment="1">
      <alignment horizontal="left"/>
    </xf>
    <xf numFmtId="2" fontId="23" fillId="0" borderId="16" xfId="0" applyNumberFormat="1" applyFont="1" applyBorder="1" applyAlignment="1">
      <alignment horizontal="left"/>
    </xf>
    <xf numFmtId="0" fontId="19" fillId="0" borderId="31" xfId="0" applyFont="1" applyBorder="1" applyAlignment="1">
      <alignment horizontal="left"/>
    </xf>
    <xf numFmtId="2" fontId="22" fillId="0" borderId="20" xfId="0" applyNumberFormat="1" applyFont="1" applyBorder="1" applyAlignment="1">
      <alignment horizontal="left"/>
    </xf>
    <xf numFmtId="2" fontId="22" fillId="0" borderId="21" xfId="0" applyNumberFormat="1" applyFont="1" applyBorder="1" applyAlignment="1">
      <alignment horizontal="left"/>
    </xf>
    <xf numFmtId="2" fontId="22" fillId="0" borderId="24" xfId="0" applyNumberFormat="1" applyFont="1" applyBorder="1" applyAlignment="1">
      <alignment horizontal="left"/>
    </xf>
    <xf numFmtId="2" fontId="22" fillId="0" borderId="22" xfId="0" applyNumberFormat="1" applyFont="1" applyBorder="1" applyAlignment="1">
      <alignment horizontal="left"/>
    </xf>
    <xf numFmtId="2" fontId="22" fillId="0" borderId="23" xfId="0" applyNumberFormat="1" applyFont="1" applyBorder="1" applyAlignment="1">
      <alignment horizontal="left"/>
    </xf>
    <xf numFmtId="2" fontId="22" fillId="0" borderId="20" xfId="0" applyNumberFormat="1" applyFont="1" applyFill="1" applyBorder="1" applyAlignment="1">
      <alignment horizontal="left"/>
    </xf>
    <xf numFmtId="2" fontId="22" fillId="0" borderId="21" xfId="0" applyNumberFormat="1" applyFont="1" applyFill="1" applyBorder="1" applyAlignment="1">
      <alignment horizontal="left"/>
    </xf>
    <xf numFmtId="2" fontId="22" fillId="0" borderId="21" xfId="1" applyNumberFormat="1" applyFont="1" applyBorder="1" applyAlignment="1">
      <alignment horizontal="left"/>
    </xf>
    <xf numFmtId="2" fontId="22" fillId="0" borderId="20" xfId="1" applyNumberFormat="1" applyFont="1" applyBorder="1" applyAlignment="1">
      <alignment horizontal="left"/>
    </xf>
    <xf numFmtId="2" fontId="23" fillId="0" borderId="20" xfId="0" applyNumberFormat="1" applyFont="1" applyBorder="1" applyAlignment="1">
      <alignment horizontal="left"/>
    </xf>
    <xf numFmtId="2" fontId="23" fillId="0" borderId="31" xfId="0" applyNumberFormat="1" applyFont="1" applyBorder="1" applyAlignment="1">
      <alignment horizontal="left"/>
    </xf>
    <xf numFmtId="2" fontId="22" fillId="0" borderId="42" xfId="0" applyNumberFormat="1" applyFont="1" applyBorder="1" applyAlignment="1">
      <alignment horizontal="left"/>
    </xf>
    <xf numFmtId="2" fontId="22" fillId="0" borderId="43" xfId="0" applyNumberFormat="1" applyFont="1" applyBorder="1" applyAlignment="1">
      <alignment horizontal="left"/>
    </xf>
    <xf numFmtId="2" fontId="22" fillId="0" borderId="44" xfId="0" applyNumberFormat="1" applyFont="1" applyBorder="1" applyAlignment="1">
      <alignment horizontal="left"/>
    </xf>
    <xf numFmtId="2" fontId="22" fillId="0" borderId="45" xfId="0" applyNumberFormat="1" applyFont="1" applyBorder="1" applyAlignment="1">
      <alignment horizontal="left"/>
    </xf>
    <xf numFmtId="2" fontId="22" fillId="0" borderId="46" xfId="0" applyNumberFormat="1" applyFont="1" applyBorder="1" applyAlignment="1">
      <alignment horizontal="left"/>
    </xf>
    <xf numFmtId="2" fontId="22" fillId="0" borderId="42" xfId="0" applyNumberFormat="1" applyFont="1" applyFill="1" applyBorder="1" applyAlignment="1">
      <alignment horizontal="left"/>
    </xf>
    <xf numFmtId="2" fontId="22" fillId="0" borderId="43" xfId="0" applyNumberFormat="1" applyFont="1" applyFill="1" applyBorder="1" applyAlignment="1">
      <alignment horizontal="left"/>
    </xf>
    <xf numFmtId="2" fontId="22" fillId="0" borderId="43" xfId="1" applyNumberFormat="1" applyFont="1" applyBorder="1" applyAlignment="1">
      <alignment horizontal="left"/>
    </xf>
    <xf numFmtId="2" fontId="23" fillId="0" borderId="46" xfId="0" applyNumberFormat="1" applyFont="1" applyBorder="1" applyAlignment="1">
      <alignment horizontal="left"/>
    </xf>
    <xf numFmtId="2" fontId="22" fillId="0" borderId="42" xfId="1" applyNumberFormat="1" applyFont="1" applyBorder="1" applyAlignment="1">
      <alignment horizontal="left"/>
    </xf>
    <xf numFmtId="2" fontId="23" fillId="0" borderId="42" xfId="0" applyNumberFormat="1" applyFont="1" applyBorder="1" applyAlignment="1">
      <alignment horizontal="left"/>
    </xf>
    <xf numFmtId="2" fontId="23" fillId="0" borderId="47" xfId="0" applyNumberFormat="1" applyFont="1" applyBorder="1" applyAlignment="1">
      <alignment horizontal="left"/>
    </xf>
    <xf numFmtId="2" fontId="17" fillId="0" borderId="23" xfId="0" applyNumberFormat="1" applyFont="1" applyBorder="1" applyAlignment="1">
      <alignment horizontal="left" vertical="center"/>
    </xf>
    <xf numFmtId="2" fontId="17" fillId="0" borderId="21" xfId="0" applyNumberFormat="1" applyFont="1" applyBorder="1" applyAlignment="1">
      <alignment horizontal="left" vertical="center"/>
    </xf>
    <xf numFmtId="2" fontId="17" fillId="0" borderId="20" xfId="0" applyNumberFormat="1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2" fontId="17" fillId="0" borderId="21" xfId="0" applyNumberFormat="1" applyFont="1" applyBorder="1" applyAlignment="1">
      <alignment horizontal="left"/>
    </xf>
    <xf numFmtId="2" fontId="17" fillId="0" borderId="22" xfId="0" applyNumberFormat="1" applyFont="1" applyBorder="1" applyAlignment="1">
      <alignment horizontal="left"/>
    </xf>
    <xf numFmtId="172" fontId="19" fillId="0" borderId="21" xfId="0" applyNumberFormat="1" applyFont="1" applyBorder="1" applyAlignment="1">
      <alignment horizontal="left"/>
    </xf>
    <xf numFmtId="0" fontId="26" fillId="0" borderId="47" xfId="0" applyFont="1" applyBorder="1" applyAlignment="1">
      <alignment horizontal="left"/>
    </xf>
    <xf numFmtId="2" fontId="16" fillId="0" borderId="46" xfId="0" applyNumberFormat="1" applyFont="1" applyBorder="1" applyAlignment="1">
      <alignment horizontal="left" vertical="center"/>
    </xf>
    <xf numFmtId="2" fontId="16" fillId="0" borderId="43" xfId="0" applyNumberFormat="1" applyFont="1" applyBorder="1" applyAlignment="1">
      <alignment horizontal="left" vertical="center"/>
    </xf>
    <xf numFmtId="2" fontId="16" fillId="0" borderId="42" xfId="0" applyNumberFormat="1" applyFont="1" applyBorder="1" applyAlignment="1">
      <alignment horizontal="left"/>
    </xf>
    <xf numFmtId="0" fontId="16" fillId="0" borderId="43" xfId="0" applyFont="1" applyBorder="1" applyAlignment="1">
      <alignment horizontal="left"/>
    </xf>
    <xf numFmtId="2" fontId="16" fillId="0" borderId="43" xfId="0" applyNumberFormat="1" applyFont="1" applyBorder="1" applyAlignment="1">
      <alignment horizontal="left"/>
    </xf>
    <xf numFmtId="2" fontId="16" fillId="0" borderId="45" xfId="0" applyNumberFormat="1" applyFont="1" applyBorder="1" applyAlignment="1">
      <alignment horizontal="left"/>
    </xf>
    <xf numFmtId="0" fontId="26" fillId="0" borderId="43" xfId="0" applyFont="1" applyBorder="1" applyAlignment="1">
      <alignment horizontal="left"/>
    </xf>
    <xf numFmtId="1" fontId="20" fillId="0" borderId="34" xfId="0" applyNumberFormat="1" applyFont="1" applyBorder="1" applyAlignment="1">
      <alignment horizontal="left"/>
    </xf>
    <xf numFmtId="1" fontId="20" fillId="0" borderId="16" xfId="0" applyNumberFormat="1" applyFont="1" applyFill="1" applyBorder="1" applyAlignment="1">
      <alignment horizontal="left" vertical="top" wrapText="1"/>
    </xf>
    <xf numFmtId="1" fontId="5" fillId="0" borderId="16" xfId="0" applyNumberFormat="1" applyFont="1" applyFill="1" applyBorder="1" applyAlignment="1">
      <alignment horizontal="left" vertical="top" wrapText="1"/>
    </xf>
    <xf numFmtId="1" fontId="5" fillId="0" borderId="48" xfId="0" applyNumberFormat="1" applyFont="1" applyFill="1" applyBorder="1" applyAlignment="1">
      <alignment horizontal="left" vertical="top" wrapText="1"/>
    </xf>
    <xf numFmtId="1" fontId="17" fillId="0" borderId="2" xfId="0" applyNumberFormat="1" applyFont="1" applyFill="1" applyBorder="1" applyAlignment="1">
      <alignment horizontal="left" wrapText="1"/>
    </xf>
    <xf numFmtId="1" fontId="17" fillId="0" borderId="2" xfId="0" applyNumberFormat="1" applyFont="1" applyFill="1" applyBorder="1" applyAlignment="1">
      <alignment horizontal="left" vertical="top" shrinkToFit="1"/>
    </xf>
    <xf numFmtId="1" fontId="17" fillId="0" borderId="2" xfId="0" applyNumberFormat="1" applyFont="1" applyFill="1" applyBorder="1" applyAlignment="1">
      <alignment horizontal="left" vertical="top" wrapText="1"/>
    </xf>
    <xf numFmtId="2" fontId="17" fillId="0" borderId="1" xfId="0" applyNumberFormat="1" applyFont="1" applyFill="1" applyBorder="1" applyAlignment="1">
      <alignment horizontal="left"/>
    </xf>
    <xf numFmtId="1" fontId="17" fillId="0" borderId="16" xfId="1" applyNumberFormat="1" applyFont="1" applyBorder="1" applyAlignment="1">
      <alignment horizontal="left"/>
    </xf>
    <xf numFmtId="2" fontId="17" fillId="0" borderId="1" xfId="1" applyNumberFormat="1" applyFont="1" applyBorder="1" applyAlignment="1">
      <alignment horizontal="left"/>
    </xf>
    <xf numFmtId="1" fontId="17" fillId="0" borderId="0" xfId="0" applyNumberFormat="1" applyFont="1" applyBorder="1" applyAlignment="1">
      <alignment horizontal="left"/>
    </xf>
    <xf numFmtId="1" fontId="17" fillId="0" borderId="18" xfId="0" applyNumberFormat="1" applyFont="1" applyBorder="1" applyAlignment="1">
      <alignment horizontal="left"/>
    </xf>
    <xf numFmtId="2" fontId="16" fillId="0" borderId="36" xfId="0" applyNumberFormat="1" applyFont="1" applyBorder="1" applyAlignment="1">
      <alignment horizontal="left"/>
    </xf>
    <xf numFmtId="2" fontId="17" fillId="0" borderId="37" xfId="0" applyNumberFormat="1" applyFont="1" applyBorder="1" applyAlignment="1">
      <alignment horizontal="left"/>
    </xf>
    <xf numFmtId="2" fontId="17" fillId="0" borderId="38" xfId="0" applyNumberFormat="1" applyFont="1" applyBorder="1" applyAlignment="1">
      <alignment horizontal="left"/>
    </xf>
    <xf numFmtId="2" fontId="20" fillId="0" borderId="1" xfId="0" applyNumberFormat="1" applyFont="1" applyBorder="1" applyAlignment="1">
      <alignment horizontal="left"/>
    </xf>
    <xf numFmtId="2" fontId="16" fillId="0" borderId="7" xfId="0" applyNumberFormat="1" applyFont="1" applyBorder="1" applyAlignment="1">
      <alignment horizontal="left" vertical="center"/>
    </xf>
    <xf numFmtId="2" fontId="16" fillId="0" borderId="9" xfId="0" applyNumberFormat="1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0" xfId="0" applyFont="1" applyFill="1" applyBorder="1" applyAlignment="1"/>
    <xf numFmtId="1" fontId="16" fillId="0" borderId="17" xfId="0" applyNumberFormat="1" applyFont="1" applyBorder="1" applyAlignment="1">
      <alignment horizontal="left" vertical="center"/>
    </xf>
    <xf numFmtId="1" fontId="17" fillId="0" borderId="6" xfId="0" applyNumberFormat="1" applyFont="1" applyBorder="1" applyAlignment="1">
      <alignment horizontal="left"/>
    </xf>
    <xf numFmtId="1" fontId="17" fillId="0" borderId="17" xfId="0" applyNumberFormat="1" applyFont="1" applyBorder="1" applyAlignment="1">
      <alignment horizontal="left"/>
    </xf>
    <xf numFmtId="2" fontId="20" fillId="0" borderId="41" xfId="0" applyNumberFormat="1" applyFont="1" applyFill="1" applyBorder="1" applyAlignment="1">
      <alignment horizontal="left" vertical="center" wrapText="1"/>
    </xf>
    <xf numFmtId="2" fontId="17" fillId="0" borderId="49" xfId="0" applyNumberFormat="1" applyFont="1" applyBorder="1" applyAlignment="1">
      <alignment horizontal="left"/>
    </xf>
    <xf numFmtId="2" fontId="17" fillId="0" borderId="36" xfId="0" applyNumberFormat="1" applyFont="1" applyFill="1" applyBorder="1" applyAlignment="1">
      <alignment horizontal="left" vertical="center" wrapText="1"/>
    </xf>
    <xf numFmtId="2" fontId="16" fillId="0" borderId="38" xfId="0" applyNumberFormat="1" applyFont="1" applyBorder="1" applyAlignment="1">
      <alignment horizontal="left"/>
    </xf>
    <xf numFmtId="2" fontId="17" fillId="0" borderId="36" xfId="0" applyNumberFormat="1" applyFont="1" applyBorder="1" applyAlignment="1">
      <alignment horizontal="left"/>
    </xf>
    <xf numFmtId="2" fontId="18" fillId="0" borderId="2" xfId="0" applyNumberFormat="1" applyFont="1" applyBorder="1" applyAlignment="1">
      <alignment horizontal="left" vertical="center"/>
    </xf>
    <xf numFmtId="0" fontId="16" fillId="0" borderId="2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20" fillId="0" borderId="15" xfId="0" applyFont="1" applyBorder="1" applyAlignment="1">
      <alignment horizontal="left"/>
    </xf>
    <xf numFmtId="1" fontId="16" fillId="0" borderId="7" xfId="0" applyNumberFormat="1" applyFont="1" applyBorder="1" applyAlignment="1">
      <alignment horizontal="left"/>
    </xf>
    <xf numFmtId="1" fontId="17" fillId="0" borderId="7" xfId="1" applyNumberFormat="1" applyFont="1" applyBorder="1" applyAlignment="1">
      <alignment horizontal="left"/>
    </xf>
    <xf numFmtId="1" fontId="17" fillId="0" borderId="17" xfId="1" applyNumberFormat="1" applyFont="1" applyBorder="1" applyAlignment="1">
      <alignment horizontal="left"/>
    </xf>
    <xf numFmtId="2" fontId="17" fillId="0" borderId="36" xfId="0" applyNumberFormat="1" applyFont="1" applyBorder="1" applyAlignment="1">
      <alignment horizontal="left" wrapText="1"/>
    </xf>
    <xf numFmtId="2" fontId="17" fillId="0" borderId="2" xfId="0" applyNumberFormat="1" applyFont="1" applyBorder="1" applyAlignment="1">
      <alignment horizontal="left" wrapText="1"/>
    </xf>
    <xf numFmtId="1" fontId="25" fillId="0" borderId="15" xfId="0" applyNumberFormat="1" applyFont="1" applyBorder="1" applyAlignment="1">
      <alignment horizontal="left"/>
    </xf>
    <xf numFmtId="1" fontId="17" fillId="0" borderId="32" xfId="0" applyNumberFormat="1" applyFont="1" applyBorder="1" applyAlignment="1">
      <alignment horizontal="left"/>
    </xf>
    <xf numFmtId="1" fontId="17" fillId="0" borderId="16" xfId="0" applyNumberFormat="1" applyFont="1" applyBorder="1" applyAlignment="1">
      <alignment horizontal="left"/>
    </xf>
    <xf numFmtId="1" fontId="16" fillId="0" borderId="16" xfId="0" applyNumberFormat="1" applyFont="1" applyBorder="1" applyAlignment="1">
      <alignment horizontal="left"/>
    </xf>
    <xf numFmtId="1" fontId="17" fillId="0" borderId="31" xfId="0" applyNumberFormat="1" applyFont="1" applyBorder="1" applyAlignment="1">
      <alignment horizontal="left"/>
    </xf>
    <xf numFmtId="1" fontId="16" fillId="0" borderId="17" xfId="0" applyNumberFormat="1" applyFont="1" applyBorder="1" applyAlignment="1">
      <alignment horizontal="left"/>
    </xf>
    <xf numFmtId="1" fontId="16" fillId="0" borderId="25" xfId="0" applyNumberFormat="1" applyFont="1" applyBorder="1" applyAlignment="1">
      <alignment horizontal="left"/>
    </xf>
    <xf numFmtId="1" fontId="17" fillId="0" borderId="10" xfId="1" applyNumberFormat="1" applyFont="1" applyBorder="1" applyAlignment="1">
      <alignment horizontal="left"/>
    </xf>
    <xf numFmtId="1" fontId="17" fillId="0" borderId="25" xfId="1" applyNumberFormat="1" applyFont="1" applyBorder="1" applyAlignment="1">
      <alignment horizontal="left"/>
    </xf>
    <xf numFmtId="1" fontId="17" fillId="0" borderId="32" xfId="1" applyNumberFormat="1" applyFont="1" applyBorder="1" applyAlignment="1">
      <alignment horizontal="left"/>
    </xf>
    <xf numFmtId="1" fontId="17" fillId="0" borderId="31" xfId="1" applyNumberFormat="1" applyFont="1" applyBorder="1" applyAlignment="1">
      <alignment horizontal="left"/>
    </xf>
    <xf numFmtId="1" fontId="17" fillId="0" borderId="50" xfId="0" applyNumberFormat="1" applyFont="1" applyFill="1" applyBorder="1" applyAlignment="1">
      <alignment horizontal="left"/>
    </xf>
    <xf numFmtId="1" fontId="17" fillId="0" borderId="34" xfId="0" applyNumberFormat="1" applyFont="1" applyFill="1" applyBorder="1" applyAlignment="1">
      <alignment horizontal="left"/>
    </xf>
    <xf numFmtId="1" fontId="17" fillId="0" borderId="34" xfId="0" applyNumberFormat="1" applyFont="1" applyBorder="1" applyAlignment="1">
      <alignment horizontal="left"/>
    </xf>
    <xf numFmtId="1" fontId="17" fillId="0" borderId="35" xfId="0" applyNumberFormat="1" applyFont="1" applyFill="1" applyBorder="1" applyAlignment="1">
      <alignment horizontal="left"/>
    </xf>
    <xf numFmtId="1" fontId="20" fillId="0" borderId="6" xfId="0" applyNumberFormat="1" applyFont="1" applyBorder="1" applyAlignment="1">
      <alignment horizontal="left"/>
    </xf>
    <xf numFmtId="1" fontId="17" fillId="0" borderId="50" xfId="0" applyNumberFormat="1" applyFont="1" applyBorder="1" applyAlignment="1">
      <alignment horizontal="left" wrapText="1"/>
    </xf>
    <xf numFmtId="1" fontId="17" fillId="0" borderId="34" xfId="0" applyNumberFormat="1" applyFont="1" applyBorder="1" applyAlignment="1">
      <alignment horizontal="left" wrapText="1"/>
    </xf>
    <xf numFmtId="1" fontId="17" fillId="0" borderId="35" xfId="0" applyNumberFormat="1" applyFont="1" applyBorder="1" applyAlignment="1">
      <alignment horizontal="left" wrapText="1"/>
    </xf>
    <xf numFmtId="1" fontId="17" fillId="0" borderId="50" xfId="0" applyNumberFormat="1" applyFont="1" applyBorder="1" applyAlignment="1">
      <alignment horizontal="left"/>
    </xf>
    <xf numFmtId="1" fontId="16" fillId="0" borderId="34" xfId="0" applyNumberFormat="1" applyFont="1" applyBorder="1" applyAlignment="1">
      <alignment horizontal="left"/>
    </xf>
    <xf numFmtId="1" fontId="17" fillId="0" borderId="35" xfId="0" applyNumberFormat="1" applyFont="1" applyBorder="1" applyAlignment="1">
      <alignment horizontal="left"/>
    </xf>
    <xf numFmtId="1" fontId="2" fillId="0" borderId="34" xfId="0" applyNumberFormat="1" applyFont="1" applyBorder="1" applyAlignment="1">
      <alignment horizontal="left"/>
    </xf>
    <xf numFmtId="1" fontId="17" fillId="0" borderId="50" xfId="2" applyNumberFormat="1" applyFont="1" applyBorder="1" applyAlignment="1">
      <alignment horizontal="left"/>
    </xf>
    <xf numFmtId="1" fontId="17" fillId="0" borderId="34" xfId="2" applyNumberFormat="1" applyFont="1" applyBorder="1" applyAlignment="1">
      <alignment horizontal="left"/>
    </xf>
    <xf numFmtId="1" fontId="17" fillId="0" borderId="35" xfId="2" applyNumberFormat="1" applyFont="1" applyBorder="1" applyAlignment="1">
      <alignment horizontal="left"/>
    </xf>
    <xf numFmtId="1" fontId="17" fillId="0" borderId="50" xfId="0" applyNumberFormat="1" applyFont="1" applyBorder="1" applyAlignment="1">
      <alignment horizontal="left" vertical="center"/>
    </xf>
    <xf numFmtId="1" fontId="17" fillId="0" borderId="34" xfId="0" applyNumberFormat="1" applyFont="1" applyBorder="1" applyAlignment="1">
      <alignment horizontal="left" vertical="center"/>
    </xf>
    <xf numFmtId="1" fontId="16" fillId="0" borderId="34" xfId="0" applyNumberFormat="1" applyFont="1" applyBorder="1" applyAlignment="1">
      <alignment horizontal="left" vertical="center"/>
    </xf>
    <xf numFmtId="1" fontId="17" fillId="0" borderId="35" xfId="0" applyNumberFormat="1" applyFont="1" applyBorder="1" applyAlignment="1">
      <alignment horizontal="left" vertical="center"/>
    </xf>
    <xf numFmtId="2" fontId="16" fillId="0" borderId="38" xfId="0" applyNumberFormat="1" applyFont="1" applyBorder="1" applyAlignment="1">
      <alignment horizontal="left" vertical="center"/>
    </xf>
    <xf numFmtId="1" fontId="22" fillId="0" borderId="14" xfId="0" applyNumberFormat="1" applyFont="1" applyBorder="1" applyAlignment="1">
      <alignment horizontal="left"/>
    </xf>
    <xf numFmtId="1" fontId="22" fillId="0" borderId="2" xfId="2" applyNumberFormat="1" applyFont="1" applyBorder="1" applyAlignment="1">
      <alignment horizontal="left"/>
    </xf>
    <xf numFmtId="1" fontId="22" fillId="0" borderId="4" xfId="0" applyNumberFormat="1" applyFont="1" applyFill="1" applyBorder="1" applyAlignment="1">
      <alignment horizontal="left"/>
    </xf>
    <xf numFmtId="1" fontId="22" fillId="0" borderId="23" xfId="0" applyNumberFormat="1" applyFont="1" applyFill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2" fontId="17" fillId="0" borderId="8" xfId="0" applyNumberFormat="1" applyFont="1" applyBorder="1" applyAlignment="1">
      <alignment horizontal="left" vertical="center"/>
    </xf>
    <xf numFmtId="2" fontId="17" fillId="0" borderId="5" xfId="0" applyNumberFormat="1" applyFont="1" applyBorder="1" applyAlignment="1">
      <alignment horizontal="left" vertical="center"/>
    </xf>
    <xf numFmtId="2" fontId="22" fillId="0" borderId="7" xfId="0" applyNumberFormat="1" applyFont="1" applyBorder="1" applyAlignment="1">
      <alignment horizontal="left"/>
    </xf>
    <xf numFmtId="2" fontId="22" fillId="0" borderId="5" xfId="0" applyNumberFormat="1" applyFont="1" applyBorder="1" applyAlignment="1">
      <alignment horizontal="left"/>
    </xf>
    <xf numFmtId="2" fontId="22" fillId="0" borderId="33" xfId="0" applyNumberFormat="1" applyFont="1" applyBorder="1" applyAlignment="1">
      <alignment horizontal="left"/>
    </xf>
    <xf numFmtId="2" fontId="22" fillId="0" borderId="9" xfId="0" applyNumberFormat="1" applyFont="1" applyBorder="1" applyAlignment="1">
      <alignment horizontal="left"/>
    </xf>
    <xf numFmtId="2" fontId="22" fillId="0" borderId="8" xfId="0" applyNumberFormat="1" applyFont="1" applyBorder="1" applyAlignment="1">
      <alignment horizontal="left"/>
    </xf>
    <xf numFmtId="2" fontId="17" fillId="0" borderId="7" xfId="0" applyNumberFormat="1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172" fontId="19" fillId="0" borderId="5" xfId="0" applyNumberFormat="1" applyFont="1" applyBorder="1" applyAlignment="1">
      <alignment horizontal="left"/>
    </xf>
    <xf numFmtId="2" fontId="22" fillId="0" borderId="7" xfId="0" applyNumberFormat="1" applyFont="1" applyFill="1" applyBorder="1" applyAlignment="1">
      <alignment horizontal="left"/>
    </xf>
    <xf numFmtId="2" fontId="22" fillId="0" borderId="5" xfId="0" applyNumberFormat="1" applyFont="1" applyFill="1" applyBorder="1" applyAlignment="1">
      <alignment horizontal="left"/>
    </xf>
    <xf numFmtId="2" fontId="22" fillId="0" borderId="5" xfId="1" applyNumberFormat="1" applyFont="1" applyBorder="1" applyAlignment="1">
      <alignment horizontal="left"/>
    </xf>
    <xf numFmtId="2" fontId="23" fillId="0" borderId="8" xfId="0" applyNumberFormat="1" applyFont="1" applyBorder="1" applyAlignment="1">
      <alignment horizontal="left"/>
    </xf>
    <xf numFmtId="2" fontId="22" fillId="0" borderId="7" xfId="1" applyNumberFormat="1" applyFont="1" applyBorder="1" applyAlignment="1">
      <alignment horizontal="left"/>
    </xf>
    <xf numFmtId="2" fontId="23" fillId="0" borderId="7" xfId="0" applyNumberFormat="1" applyFont="1" applyBorder="1" applyAlignment="1">
      <alignment horizontal="left"/>
    </xf>
    <xf numFmtId="2" fontId="23" fillId="0" borderId="32" xfId="0" applyNumberFormat="1" applyFont="1" applyBorder="1" applyAlignment="1">
      <alignment horizontal="left"/>
    </xf>
    <xf numFmtId="0" fontId="26" fillId="0" borderId="39" xfId="0" applyFont="1" applyBorder="1" applyAlignment="1">
      <alignment horizontal="left"/>
    </xf>
    <xf numFmtId="0" fontId="26" fillId="0" borderId="51" xfId="0" applyFont="1" applyBorder="1" applyAlignment="1">
      <alignment horizontal="left"/>
    </xf>
    <xf numFmtId="1" fontId="24" fillId="0" borderId="52" xfId="0" applyNumberFormat="1" applyFont="1" applyBorder="1" applyAlignment="1">
      <alignment horizontal="left"/>
    </xf>
    <xf numFmtId="1" fontId="24" fillId="0" borderId="39" xfId="0" applyNumberFormat="1" applyFont="1" applyBorder="1" applyAlignment="1">
      <alignment horizontal="left"/>
    </xf>
    <xf numFmtId="1" fontId="24" fillId="0" borderId="18" xfId="0" applyNumberFormat="1" applyFont="1" applyBorder="1" applyAlignment="1">
      <alignment horizontal="left"/>
    </xf>
    <xf numFmtId="0" fontId="26" fillId="0" borderId="16" xfId="0" applyFont="1" applyBorder="1" applyAlignment="1">
      <alignment horizontal="left"/>
    </xf>
    <xf numFmtId="0" fontId="19" fillId="0" borderId="34" xfId="0" applyFont="1" applyBorder="1" applyAlignment="1">
      <alignment horizontal="left"/>
    </xf>
    <xf numFmtId="0" fontId="24" fillId="0" borderId="16" xfId="0" applyFont="1" applyBorder="1" applyAlignment="1">
      <alignment horizontal="left"/>
    </xf>
    <xf numFmtId="1" fontId="19" fillId="0" borderId="33" xfId="0" applyNumberFormat="1" applyFont="1" applyBorder="1" applyAlignment="1">
      <alignment horizontal="left"/>
    </xf>
    <xf numFmtId="0" fontId="19" fillId="0" borderId="32" xfId="0" applyFont="1" applyBorder="1" applyAlignment="1">
      <alignment horizontal="left"/>
    </xf>
    <xf numFmtId="1" fontId="26" fillId="0" borderId="2" xfId="0" applyNumberFormat="1" applyFont="1" applyBorder="1" applyAlignment="1">
      <alignment horizontal="left" vertical="center"/>
    </xf>
    <xf numFmtId="2" fontId="26" fillId="0" borderId="4" xfId="1" applyNumberFormat="1" applyFont="1" applyBorder="1" applyAlignment="1">
      <alignment horizontal="left"/>
    </xf>
    <xf numFmtId="1" fontId="26" fillId="0" borderId="4" xfId="1" applyNumberFormat="1" applyFont="1" applyBorder="1" applyAlignment="1">
      <alignment horizontal="left"/>
    </xf>
    <xf numFmtId="1" fontId="17" fillId="0" borderId="14" xfId="0" applyNumberFormat="1" applyFont="1" applyFill="1" applyBorder="1" applyAlignment="1">
      <alignment horizontal="left"/>
    </xf>
    <xf numFmtId="1" fontId="6" fillId="0" borderId="4" xfId="0" applyNumberFormat="1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28" fillId="0" borderId="53" xfId="0" applyFont="1" applyBorder="1" applyAlignment="1">
      <alignment horizontal="left"/>
    </xf>
    <xf numFmtId="0" fontId="30" fillId="0" borderId="0" xfId="0" applyFont="1" applyAlignment="1">
      <alignment horizontal="left"/>
    </xf>
    <xf numFmtId="2" fontId="28" fillId="0" borderId="2" xfId="0" applyNumberFormat="1" applyFont="1" applyBorder="1" applyAlignment="1">
      <alignment horizontal="left" vertical="center"/>
    </xf>
    <xf numFmtId="2" fontId="28" fillId="0" borderId="4" xfId="0" applyNumberFormat="1" applyFont="1" applyBorder="1" applyAlignment="1">
      <alignment horizontal="left" vertical="center"/>
    </xf>
    <xf numFmtId="2" fontId="28" fillId="0" borderId="17" xfId="0" applyNumberFormat="1" applyFont="1" applyBorder="1" applyAlignment="1">
      <alignment horizontal="left" vertical="center"/>
    </xf>
    <xf numFmtId="2" fontId="28" fillId="0" borderId="19" xfId="0" applyNumberFormat="1" applyFont="1" applyBorder="1" applyAlignment="1">
      <alignment horizontal="left" vertical="center"/>
    </xf>
    <xf numFmtId="2" fontId="28" fillId="0" borderId="3" xfId="0" applyNumberFormat="1" applyFont="1" applyBorder="1" applyAlignment="1">
      <alignment horizontal="left" vertical="center"/>
    </xf>
    <xf numFmtId="2" fontId="28" fillId="0" borderId="14" xfId="0" applyNumberFormat="1" applyFont="1" applyBorder="1" applyAlignment="1">
      <alignment horizontal="left" vertical="center"/>
    </xf>
    <xf numFmtId="2" fontId="28" fillId="0" borderId="1" xfId="0" applyNumberFormat="1" applyFont="1" applyBorder="1" applyAlignment="1">
      <alignment horizontal="left" vertical="center"/>
    </xf>
    <xf numFmtId="2" fontId="28" fillId="0" borderId="2" xfId="1" applyNumberFormat="1" applyFont="1" applyBorder="1" applyAlignment="1">
      <alignment horizontal="left"/>
    </xf>
    <xf numFmtId="0" fontId="28" fillId="0" borderId="0" xfId="0" applyFont="1" applyAlignment="1">
      <alignment horizontal="left"/>
    </xf>
    <xf numFmtId="2" fontId="28" fillId="0" borderId="13" xfId="0" applyNumberFormat="1" applyFont="1" applyBorder="1" applyAlignment="1">
      <alignment horizontal="left" vertical="center"/>
    </xf>
    <xf numFmtId="2" fontId="28" fillId="0" borderId="54" xfId="0" applyNumberFormat="1" applyFont="1" applyBorder="1" applyAlignment="1">
      <alignment horizontal="left" vertical="center"/>
    </xf>
    <xf numFmtId="2" fontId="28" fillId="0" borderId="55" xfId="0" applyNumberFormat="1" applyFont="1" applyBorder="1" applyAlignment="1">
      <alignment horizontal="left" vertical="center"/>
    </xf>
    <xf numFmtId="2" fontId="28" fillId="0" borderId="56" xfId="0" applyNumberFormat="1" applyFont="1" applyBorder="1" applyAlignment="1">
      <alignment horizontal="left" vertical="center"/>
    </xf>
    <xf numFmtId="2" fontId="28" fillId="0" borderId="11" xfId="0" applyNumberFormat="1" applyFont="1" applyBorder="1" applyAlignment="1">
      <alignment horizontal="left" vertical="center"/>
    </xf>
    <xf numFmtId="2" fontId="28" fillId="0" borderId="57" xfId="0" applyNumberFormat="1" applyFont="1" applyBorder="1" applyAlignment="1">
      <alignment horizontal="left" vertical="center"/>
    </xf>
    <xf numFmtId="2" fontId="28" fillId="0" borderId="12" xfId="0" applyNumberFormat="1" applyFont="1" applyBorder="1" applyAlignment="1">
      <alignment horizontal="left" vertical="center"/>
    </xf>
    <xf numFmtId="2" fontId="28" fillId="0" borderId="13" xfId="1" applyNumberFormat="1" applyFont="1" applyBorder="1" applyAlignment="1">
      <alignment horizontal="left"/>
    </xf>
    <xf numFmtId="0" fontId="31" fillId="0" borderId="0" xfId="0" applyFont="1" applyAlignment="1">
      <alignment horizontal="left"/>
    </xf>
    <xf numFmtId="0" fontId="30" fillId="0" borderId="47" xfId="0" applyFont="1" applyBorder="1" applyAlignment="1">
      <alignment horizontal="left"/>
    </xf>
    <xf numFmtId="2" fontId="28" fillId="0" borderId="46" xfId="0" applyNumberFormat="1" applyFont="1" applyBorder="1" applyAlignment="1">
      <alignment horizontal="left" vertical="center"/>
    </xf>
    <xf numFmtId="2" fontId="28" fillId="0" borderId="49" xfId="0" applyNumberFormat="1" applyFont="1" applyBorder="1" applyAlignment="1">
      <alignment horizontal="left" vertical="center"/>
    </xf>
    <xf numFmtId="2" fontId="28" fillId="0" borderId="42" xfId="0" applyNumberFormat="1" applyFont="1" applyBorder="1" applyAlignment="1">
      <alignment horizontal="left" vertical="center"/>
    </xf>
    <xf numFmtId="2" fontId="28" fillId="0" borderId="58" xfId="0" applyNumberFormat="1" applyFont="1" applyBorder="1" applyAlignment="1">
      <alignment horizontal="left" vertical="center"/>
    </xf>
    <xf numFmtId="2" fontId="32" fillId="0" borderId="46" xfId="0" applyNumberFormat="1" applyFont="1" applyBorder="1" applyAlignment="1">
      <alignment horizontal="left"/>
    </xf>
    <xf numFmtId="2" fontId="32" fillId="0" borderId="42" xfId="1" applyNumberFormat="1" applyFont="1" applyBorder="1" applyAlignment="1">
      <alignment horizontal="left"/>
    </xf>
    <xf numFmtId="2" fontId="32" fillId="0" borderId="42" xfId="0" applyNumberFormat="1" applyFont="1" applyBorder="1" applyAlignment="1">
      <alignment horizontal="left"/>
    </xf>
    <xf numFmtId="2" fontId="32" fillId="0" borderId="47" xfId="0" applyNumberFormat="1" applyFont="1" applyBorder="1" applyAlignment="1">
      <alignment horizontal="left"/>
    </xf>
    <xf numFmtId="0" fontId="33" fillId="0" borderId="0" xfId="0" applyFont="1" applyAlignment="1">
      <alignment horizontal="left"/>
    </xf>
    <xf numFmtId="0" fontId="30" fillId="0" borderId="59" xfId="0" applyFont="1" applyBorder="1" applyAlignment="1">
      <alignment horizontal="left"/>
    </xf>
    <xf numFmtId="2" fontId="28" fillId="0" borderId="60" xfId="0" applyNumberFormat="1" applyFont="1" applyBorder="1" applyAlignment="1">
      <alignment horizontal="left" vertical="center"/>
    </xf>
    <xf numFmtId="2" fontId="28" fillId="0" borderId="61" xfId="0" applyNumberFormat="1" applyFont="1" applyBorder="1" applyAlignment="1">
      <alignment horizontal="left" vertical="center"/>
    </xf>
    <xf numFmtId="2" fontId="28" fillId="0" borderId="62" xfId="0" applyNumberFormat="1" applyFont="1" applyBorder="1" applyAlignment="1">
      <alignment horizontal="left" vertical="center"/>
    </xf>
    <xf numFmtId="2" fontId="28" fillId="0" borderId="63" xfId="0" applyNumberFormat="1" applyFont="1" applyBorder="1" applyAlignment="1">
      <alignment horizontal="left" vertical="center"/>
    </xf>
    <xf numFmtId="2" fontId="32" fillId="0" borderId="60" xfId="0" applyNumberFormat="1" applyFont="1" applyBorder="1" applyAlignment="1">
      <alignment horizontal="left"/>
    </xf>
    <xf numFmtId="2" fontId="32" fillId="0" borderId="62" xfId="0" applyNumberFormat="1" applyFont="1" applyBorder="1" applyAlignment="1">
      <alignment horizontal="left"/>
    </xf>
    <xf numFmtId="2" fontId="32" fillId="0" borderId="59" xfId="0" applyNumberFormat="1" applyFont="1" applyBorder="1" applyAlignment="1">
      <alignment horizontal="left"/>
    </xf>
    <xf numFmtId="0" fontId="26" fillId="0" borderId="0" xfId="0" applyFont="1"/>
    <xf numFmtId="0" fontId="17" fillId="0" borderId="0" xfId="0" applyFont="1"/>
    <xf numFmtId="0" fontId="25" fillId="0" borderId="0" xfId="0" applyFont="1" applyAlignment="1">
      <alignment horizontal="left"/>
    </xf>
    <xf numFmtId="0" fontId="20" fillId="0" borderId="16" xfId="0" applyFont="1" applyBorder="1" applyAlignment="1">
      <alignment horizontal="left"/>
    </xf>
    <xf numFmtId="0" fontId="21" fillId="0" borderId="17" xfId="0" applyFont="1" applyBorder="1"/>
    <xf numFmtId="0" fontId="21" fillId="0" borderId="55" xfId="0" applyFont="1" applyBorder="1"/>
    <xf numFmtId="0" fontId="18" fillId="0" borderId="17" xfId="0" applyFont="1" applyBorder="1" applyAlignment="1">
      <alignment horizontal="left"/>
    </xf>
    <xf numFmtId="0" fontId="26" fillId="0" borderId="0" xfId="0" applyFont="1" applyFill="1"/>
    <xf numFmtId="0" fontId="21" fillId="0" borderId="1" xfId="0" applyFont="1" applyBorder="1"/>
    <xf numFmtId="0" fontId="21" fillId="0" borderId="19" xfId="0" applyFont="1" applyBorder="1"/>
    <xf numFmtId="0" fontId="21" fillId="0" borderId="16" xfId="0" applyFont="1" applyBorder="1"/>
    <xf numFmtId="0" fontId="21" fillId="0" borderId="4" xfId="0" applyFont="1" applyBorder="1"/>
    <xf numFmtId="0" fontId="21" fillId="0" borderId="48" xfId="0" applyFont="1" applyBorder="1"/>
    <xf numFmtId="0" fontId="22" fillId="0" borderId="0" xfId="0" applyFont="1"/>
    <xf numFmtId="0" fontId="34" fillId="0" borderId="0" xfId="0" applyFont="1" applyAlignment="1">
      <alignment horizontal="left"/>
    </xf>
    <xf numFmtId="2" fontId="22" fillId="0" borderId="16" xfId="0" applyNumberFormat="1" applyFont="1" applyBorder="1" applyAlignment="1">
      <alignment vertical="center"/>
    </xf>
    <xf numFmtId="2" fontId="23" fillId="0" borderId="16" xfId="0" applyNumberFormat="1" applyFont="1" applyBorder="1" applyAlignment="1">
      <alignment vertical="center"/>
    </xf>
    <xf numFmtId="2" fontId="22" fillId="0" borderId="17" xfId="0" applyNumberFormat="1" applyFont="1" applyBorder="1" applyAlignment="1">
      <alignment horizontal="right"/>
    </xf>
    <xf numFmtId="2" fontId="23" fillId="0" borderId="17" xfId="0" applyNumberFormat="1" applyFont="1" applyBorder="1" applyAlignment="1">
      <alignment horizontal="right"/>
    </xf>
    <xf numFmtId="0" fontId="27" fillId="0" borderId="34" xfId="0" applyFont="1" applyBorder="1" applyAlignment="1">
      <alignment horizontal="left"/>
    </xf>
    <xf numFmtId="0" fontId="27" fillId="0" borderId="50" xfId="0" applyFont="1" applyBorder="1" applyAlignment="1">
      <alignment horizontal="left"/>
    </xf>
    <xf numFmtId="0" fontId="23" fillId="0" borderId="32" xfId="0" applyFont="1" applyBorder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1" fillId="0" borderId="50" xfId="0" applyFont="1" applyBorder="1"/>
    <xf numFmtId="0" fontId="21" fillId="0" borderId="34" xfId="0" applyFont="1" applyBorder="1"/>
    <xf numFmtId="0" fontId="23" fillId="0" borderId="32" xfId="0" applyFont="1" applyBorder="1" applyAlignment="1">
      <alignment horizontal="center" vertical="center"/>
    </xf>
    <xf numFmtId="2" fontId="22" fillId="0" borderId="16" xfId="0" applyNumberFormat="1" applyFont="1" applyBorder="1" applyAlignment="1">
      <alignment horizontal="right"/>
    </xf>
    <xf numFmtId="2" fontId="23" fillId="0" borderId="16" xfId="0" applyNumberFormat="1" applyFont="1" applyBorder="1" applyAlignment="1">
      <alignment horizontal="right"/>
    </xf>
    <xf numFmtId="0" fontId="16" fillId="0" borderId="10" xfId="0" applyFont="1" applyBorder="1" applyAlignment="1">
      <alignment horizontal="center" vertical="center"/>
    </xf>
    <xf numFmtId="2" fontId="17" fillId="0" borderId="17" xfId="0" applyNumberFormat="1" applyFont="1" applyBorder="1" applyAlignment="1">
      <alignment horizontal="right"/>
    </xf>
    <xf numFmtId="2" fontId="16" fillId="0" borderId="17" xfId="0" applyNumberFormat="1" applyFont="1" applyBorder="1" applyAlignment="1">
      <alignment horizontal="right"/>
    </xf>
    <xf numFmtId="0" fontId="17" fillId="0" borderId="18" xfId="0" applyFont="1" applyBorder="1" applyAlignment="1">
      <alignment horizontal="left"/>
    </xf>
    <xf numFmtId="2" fontId="17" fillId="0" borderId="17" xfId="0" applyNumberFormat="1" applyFont="1" applyBorder="1" applyAlignment="1">
      <alignment horizontal="left"/>
    </xf>
    <xf numFmtId="2" fontId="16" fillId="0" borderId="17" xfId="0" applyNumberFormat="1" applyFont="1" applyBorder="1" applyAlignment="1">
      <alignment horizontal="left"/>
    </xf>
    <xf numFmtId="2" fontId="26" fillId="0" borderId="17" xfId="0" applyNumberFormat="1" applyFont="1" applyBorder="1" applyAlignment="1">
      <alignment horizontal="left"/>
    </xf>
    <xf numFmtId="2" fontId="22" fillId="0" borderId="17" xfId="2" applyNumberFormat="1" applyFont="1" applyBorder="1" applyAlignment="1">
      <alignment horizontal="right"/>
    </xf>
    <xf numFmtId="2" fontId="22" fillId="0" borderId="17" xfId="1" applyNumberFormat="1" applyFont="1" applyBorder="1" applyAlignment="1">
      <alignment horizontal="right"/>
    </xf>
    <xf numFmtId="2" fontId="3" fillId="0" borderId="17" xfId="0" applyNumberFormat="1" applyFont="1" applyBorder="1" applyAlignment="1">
      <alignment horizontal="right"/>
    </xf>
    <xf numFmtId="2" fontId="22" fillId="0" borderId="17" xfId="0" applyNumberFormat="1" applyFont="1" applyBorder="1" applyAlignment="1">
      <alignment horizontal="right" wrapText="1"/>
    </xf>
    <xf numFmtId="3" fontId="19" fillId="0" borderId="17" xfId="0" applyNumberFormat="1" applyFont="1" applyBorder="1" applyAlignment="1">
      <alignment horizontal="right"/>
    </xf>
    <xf numFmtId="3" fontId="27" fillId="0" borderId="17" xfId="0" applyNumberFormat="1" applyFont="1" applyBorder="1" applyAlignment="1">
      <alignment horizontal="right"/>
    </xf>
    <xf numFmtId="172" fontId="19" fillId="0" borderId="17" xfId="0" applyNumberFormat="1" applyFont="1" applyBorder="1" applyAlignment="1">
      <alignment horizontal="right"/>
    </xf>
    <xf numFmtId="2" fontId="22" fillId="0" borderId="17" xfId="0" applyNumberFormat="1" applyFont="1" applyFill="1" applyBorder="1" applyAlignment="1">
      <alignment horizontal="right"/>
    </xf>
    <xf numFmtId="1" fontId="35" fillId="0" borderId="0" xfId="0" applyNumberFormat="1" applyFont="1" applyAlignment="1">
      <alignment horizontal="left"/>
    </xf>
    <xf numFmtId="0" fontId="36" fillId="0" borderId="6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1" fontId="16" fillId="0" borderId="8" xfId="0" applyNumberFormat="1" applyFont="1" applyBorder="1" applyAlignment="1">
      <alignment horizontal="left" vertical="center"/>
    </xf>
    <xf numFmtId="1" fontId="16" fillId="0" borderId="5" xfId="0" applyNumberFormat="1" applyFont="1" applyBorder="1" applyAlignment="1">
      <alignment horizontal="left" vertical="center"/>
    </xf>
    <xf numFmtId="1" fontId="16" fillId="0" borderId="9" xfId="0" applyNumberFormat="1" applyFont="1" applyBorder="1" applyAlignment="1">
      <alignment horizontal="left" vertical="center"/>
    </xf>
    <xf numFmtId="1" fontId="17" fillId="0" borderId="7" xfId="0" applyNumberFormat="1" applyFont="1" applyFill="1" applyBorder="1" applyAlignment="1">
      <alignment horizontal="left" vertical="center" shrinkToFit="1"/>
    </xf>
    <xf numFmtId="1" fontId="16" fillId="0" borderId="7" xfId="0" applyNumberFormat="1" applyFont="1" applyBorder="1" applyAlignment="1">
      <alignment horizontal="left" vertical="center"/>
    </xf>
    <xf numFmtId="1" fontId="16" fillId="0" borderId="32" xfId="0" applyNumberFormat="1" applyFont="1" applyBorder="1" applyAlignment="1">
      <alignment horizontal="left" vertical="center"/>
    </xf>
    <xf numFmtId="0" fontId="36" fillId="0" borderId="64" xfId="0" applyFont="1" applyBorder="1" applyAlignment="1">
      <alignment horizontal="left"/>
    </xf>
    <xf numFmtId="0" fontId="36" fillId="0" borderId="61" xfId="0" applyFont="1" applyBorder="1" applyAlignment="1">
      <alignment horizontal="left"/>
    </xf>
    <xf numFmtId="0" fontId="36" fillId="0" borderId="63" xfId="0" applyFont="1" applyBorder="1" applyAlignment="1">
      <alignment horizontal="left"/>
    </xf>
    <xf numFmtId="1" fontId="24" fillId="0" borderId="49" xfId="0" applyNumberFormat="1" applyFont="1" applyFill="1" applyBorder="1" applyAlignment="1">
      <alignment horizontal="center" vertical="center" wrapText="1"/>
    </xf>
    <xf numFmtId="1" fontId="24" fillId="0" borderId="58" xfId="0" applyNumberFormat="1" applyFont="1" applyFill="1" applyBorder="1" applyAlignment="1">
      <alignment horizontal="center" vertical="center" wrapText="1"/>
    </xf>
    <xf numFmtId="0" fontId="36" fillId="0" borderId="28" xfId="0" applyFont="1" applyBorder="1" applyAlignment="1">
      <alignment horizontal="left"/>
    </xf>
    <xf numFmtId="0" fontId="37" fillId="0" borderId="0" xfId="0" applyFont="1"/>
    <xf numFmtId="0" fontId="36" fillId="0" borderId="26" xfId="0" applyFont="1" applyBorder="1" applyAlignment="1">
      <alignment horizontal="left"/>
    </xf>
    <xf numFmtId="0" fontId="36" fillId="0" borderId="27" xfId="0" applyFont="1" applyBorder="1" applyAlignment="1">
      <alignment horizontal="left"/>
    </xf>
    <xf numFmtId="0" fontId="38" fillId="0" borderId="0" xfId="0" applyFont="1"/>
    <xf numFmtId="0" fontId="39" fillId="0" borderId="48" xfId="0" applyFont="1" applyBorder="1" applyAlignment="1">
      <alignment horizontal="left"/>
    </xf>
    <xf numFmtId="1" fontId="39" fillId="0" borderId="13" xfId="0" applyNumberFormat="1" applyFont="1" applyBorder="1" applyAlignment="1">
      <alignment horizontal="left" vertical="center"/>
    </xf>
    <xf numFmtId="1" fontId="39" fillId="0" borderId="54" xfId="0" applyNumberFormat="1" applyFont="1" applyBorder="1" applyAlignment="1">
      <alignment horizontal="left" vertical="center"/>
    </xf>
    <xf numFmtId="1" fontId="39" fillId="0" borderId="56" xfId="0" applyNumberFormat="1" applyFont="1" applyBorder="1" applyAlignment="1">
      <alignment horizontal="left" vertical="center"/>
    </xf>
    <xf numFmtId="1" fontId="39" fillId="0" borderId="55" xfId="0" applyNumberFormat="1" applyFont="1" applyBorder="1" applyAlignment="1">
      <alignment horizontal="left" vertical="center"/>
    </xf>
    <xf numFmtId="1" fontId="39" fillId="0" borderId="54" xfId="0" applyNumberFormat="1" applyFont="1" applyBorder="1" applyAlignment="1">
      <alignment horizontal="left"/>
    </xf>
    <xf numFmtId="1" fontId="39" fillId="0" borderId="13" xfId="0" applyNumberFormat="1" applyFont="1" applyBorder="1" applyAlignment="1">
      <alignment horizontal="left"/>
    </xf>
    <xf numFmtId="1" fontId="39" fillId="0" borderId="48" xfId="0" applyNumberFormat="1" applyFont="1" applyBorder="1" applyAlignment="1">
      <alignment horizontal="left"/>
    </xf>
    <xf numFmtId="2" fontId="39" fillId="0" borderId="13" xfId="0" applyNumberFormat="1" applyFont="1" applyBorder="1" applyAlignment="1">
      <alignment horizontal="left"/>
    </xf>
    <xf numFmtId="2" fontId="39" fillId="0" borderId="48" xfId="0" applyNumberFormat="1" applyFont="1" applyBorder="1" applyAlignment="1">
      <alignment horizontal="left"/>
    </xf>
    <xf numFmtId="1" fontId="39" fillId="0" borderId="54" xfId="1" applyNumberFormat="1" applyFont="1" applyBorder="1" applyAlignment="1">
      <alignment horizontal="left"/>
    </xf>
    <xf numFmtId="1" fontId="39" fillId="0" borderId="13" xfId="1" applyNumberFormat="1" applyFont="1" applyBorder="1" applyAlignment="1">
      <alignment horizontal="left"/>
    </xf>
    <xf numFmtId="1" fontId="39" fillId="0" borderId="11" xfId="1" applyNumberFormat="1" applyFont="1" applyBorder="1" applyAlignment="1">
      <alignment horizontal="left"/>
    </xf>
    <xf numFmtId="0" fontId="39" fillId="0" borderId="0" xfId="0" applyFont="1" applyAlignment="1">
      <alignment horizontal="left"/>
    </xf>
    <xf numFmtId="1" fontId="40" fillId="0" borderId="0" xfId="0" applyNumberFormat="1" applyFont="1"/>
    <xf numFmtId="1" fontId="26" fillId="0" borderId="0" xfId="0" applyNumberFormat="1" applyFont="1" applyFill="1" applyBorder="1" applyAlignment="1">
      <alignment horizontal="left"/>
    </xf>
    <xf numFmtId="1" fontId="26" fillId="0" borderId="2" xfId="0" applyNumberFormat="1" applyFont="1" applyBorder="1" applyAlignment="1">
      <alignment horizontal="left" wrapText="1"/>
    </xf>
    <xf numFmtId="1" fontId="26" fillId="0" borderId="2" xfId="0" applyNumberFormat="1" applyFont="1" applyFill="1" applyBorder="1" applyAlignment="1">
      <alignment horizontal="left"/>
    </xf>
    <xf numFmtId="1" fontId="24" fillId="0" borderId="34" xfId="0" applyNumberFormat="1" applyFont="1" applyBorder="1" applyAlignment="1">
      <alignment horizontal="left" vertical="center"/>
    </xf>
    <xf numFmtId="1" fontId="27" fillId="0" borderId="2" xfId="0" applyNumberFormat="1" applyFont="1" applyBorder="1" applyAlignment="1">
      <alignment horizontal="left"/>
    </xf>
    <xf numFmtId="1" fontId="24" fillId="0" borderId="2" xfId="1" applyNumberFormat="1" applyFont="1" applyBorder="1" applyAlignment="1">
      <alignment horizontal="left"/>
    </xf>
    <xf numFmtId="1" fontId="24" fillId="0" borderId="4" xfId="1" applyNumberFormat="1" applyFont="1" applyBorder="1" applyAlignment="1">
      <alignment horizontal="left"/>
    </xf>
    <xf numFmtId="1" fontId="24" fillId="0" borderId="0" xfId="0" applyNumberFormat="1" applyFont="1" applyAlignment="1">
      <alignment horizontal="left"/>
    </xf>
    <xf numFmtId="1" fontId="24" fillId="0" borderId="3" xfId="0" applyNumberFormat="1" applyFont="1" applyBorder="1" applyAlignment="1">
      <alignment horizontal="left" vertical="center"/>
    </xf>
    <xf numFmtId="1" fontId="4" fillId="0" borderId="4" xfId="0" applyNumberFormat="1" applyFont="1" applyBorder="1" applyAlignment="1">
      <alignment horizontal="left"/>
    </xf>
    <xf numFmtId="1" fontId="4" fillId="0" borderId="3" xfId="0" applyNumberFormat="1" applyFont="1" applyBorder="1" applyAlignment="1">
      <alignment horizontal="left"/>
    </xf>
    <xf numFmtId="1" fontId="24" fillId="0" borderId="16" xfId="0" applyNumberFormat="1" applyFont="1" applyBorder="1" applyAlignment="1">
      <alignment horizontal="left" vertical="center"/>
    </xf>
    <xf numFmtId="1" fontId="26" fillId="0" borderId="20" xfId="0" applyNumberFormat="1" applyFont="1" applyBorder="1" applyAlignment="1">
      <alignment horizontal="left" vertical="center"/>
    </xf>
    <xf numFmtId="1" fontId="26" fillId="0" borderId="23" xfId="0" applyNumberFormat="1" applyFont="1" applyBorder="1" applyAlignment="1">
      <alignment horizontal="left" vertical="center"/>
    </xf>
    <xf numFmtId="1" fontId="26" fillId="0" borderId="20" xfId="0" applyNumberFormat="1" applyFont="1" applyBorder="1" applyAlignment="1">
      <alignment horizontal="left" wrapText="1"/>
    </xf>
    <xf numFmtId="1" fontId="19" fillId="0" borderId="20" xfId="0" applyNumberFormat="1" applyFont="1" applyBorder="1" applyAlignment="1">
      <alignment horizontal="left"/>
    </xf>
    <xf numFmtId="1" fontId="19" fillId="0" borderId="21" xfId="0" applyNumberFormat="1" applyFont="1" applyBorder="1" applyAlignment="1">
      <alignment horizontal="left"/>
    </xf>
    <xf numFmtId="1" fontId="19" fillId="0" borderId="24" xfId="0" applyNumberFormat="1" applyFont="1" applyBorder="1" applyAlignment="1">
      <alignment horizontal="left"/>
    </xf>
    <xf numFmtId="1" fontId="26" fillId="0" borderId="20" xfId="0" applyNumberFormat="1" applyFont="1" applyFill="1" applyBorder="1" applyAlignment="1">
      <alignment horizontal="left"/>
    </xf>
    <xf numFmtId="1" fontId="39" fillId="0" borderId="0" xfId="0" applyNumberFormat="1" applyFont="1" applyAlignment="1">
      <alignment horizontal="left"/>
    </xf>
    <xf numFmtId="1" fontId="24" fillId="0" borderId="31" xfId="0" applyNumberFormat="1" applyFont="1" applyBorder="1" applyAlignment="1">
      <alignment horizontal="left"/>
    </xf>
    <xf numFmtId="1" fontId="39" fillId="0" borderId="62" xfId="0" applyNumberFormat="1" applyFont="1" applyBorder="1" applyAlignment="1">
      <alignment horizontal="left" vertical="center"/>
    </xf>
    <xf numFmtId="1" fontId="39" fillId="0" borderId="64" xfId="0" applyNumberFormat="1" applyFont="1" applyBorder="1" applyAlignment="1">
      <alignment horizontal="left" vertical="center"/>
    </xf>
    <xf numFmtId="1" fontId="39" fillId="0" borderId="59" xfId="0" applyNumberFormat="1" applyFont="1" applyBorder="1" applyAlignment="1">
      <alignment horizontal="left" vertical="center"/>
    </xf>
    <xf numFmtId="1" fontId="39" fillId="0" borderId="60" xfId="0" applyNumberFormat="1" applyFont="1" applyBorder="1" applyAlignment="1">
      <alignment horizontal="left" vertical="center"/>
    </xf>
    <xf numFmtId="1" fontId="39" fillId="0" borderId="65" xfId="0" applyNumberFormat="1" applyFont="1" applyBorder="1" applyAlignment="1">
      <alignment horizontal="left"/>
    </xf>
    <xf numFmtId="1" fontId="39" fillId="0" borderId="62" xfId="0" applyNumberFormat="1" applyFont="1" applyBorder="1" applyAlignment="1">
      <alignment horizontal="left"/>
    </xf>
    <xf numFmtId="1" fontId="39" fillId="0" borderId="60" xfId="0" applyNumberFormat="1" applyFont="1" applyBorder="1" applyAlignment="1">
      <alignment horizontal="left"/>
    </xf>
    <xf numFmtId="1" fontId="39" fillId="0" borderId="62" xfId="1" applyNumberFormat="1" applyFont="1" applyBorder="1" applyAlignment="1">
      <alignment horizontal="left"/>
    </xf>
    <xf numFmtId="1" fontId="39" fillId="0" borderId="60" xfId="1" applyNumberFormat="1" applyFont="1" applyBorder="1" applyAlignment="1">
      <alignment horizontal="left"/>
    </xf>
    <xf numFmtId="1" fontId="39" fillId="0" borderId="59" xfId="0" applyNumberFormat="1" applyFont="1" applyBorder="1" applyAlignment="1">
      <alignment horizontal="left"/>
    </xf>
    <xf numFmtId="1" fontId="36" fillId="0" borderId="64" xfId="0" applyNumberFormat="1" applyFont="1" applyBorder="1" applyAlignment="1">
      <alignment horizontal="left"/>
    </xf>
    <xf numFmtId="1" fontId="41" fillId="0" borderId="0" xfId="0" applyNumberFormat="1" applyFont="1" applyAlignment="1">
      <alignment horizontal="left"/>
    </xf>
    <xf numFmtId="1" fontId="40" fillId="0" borderId="0" xfId="0" applyNumberFormat="1" applyFont="1" applyAlignment="1">
      <alignment horizontal="left"/>
    </xf>
    <xf numFmtId="0" fontId="39" fillId="0" borderId="59" xfId="0" applyFont="1" applyBorder="1" applyAlignment="1">
      <alignment horizontal="left"/>
    </xf>
    <xf numFmtId="1" fontId="39" fillId="0" borderId="65" xfId="0" applyNumberFormat="1" applyFont="1" applyBorder="1" applyAlignment="1">
      <alignment horizontal="left" vertical="center"/>
    </xf>
    <xf numFmtId="1" fontId="39" fillId="0" borderId="63" xfId="0" applyNumberFormat="1" applyFont="1" applyBorder="1" applyAlignment="1">
      <alignment horizontal="left"/>
    </xf>
    <xf numFmtId="0" fontId="40" fillId="0" borderId="0" xfId="0" applyFont="1" applyAlignment="1">
      <alignment horizontal="left"/>
    </xf>
    <xf numFmtId="2" fontId="40" fillId="0" borderId="64" xfId="0" applyNumberFormat="1" applyFont="1" applyBorder="1" applyAlignment="1">
      <alignment horizontal="left"/>
    </xf>
    <xf numFmtId="2" fontId="40" fillId="0" borderId="61" xfId="0" applyNumberFormat="1" applyFont="1" applyBorder="1" applyAlignment="1">
      <alignment horizontal="left"/>
    </xf>
    <xf numFmtId="2" fontId="40" fillId="0" borderId="63" xfId="0" applyNumberFormat="1" applyFont="1" applyBorder="1" applyAlignment="1">
      <alignment horizontal="left"/>
    </xf>
    <xf numFmtId="1" fontId="40" fillId="0" borderId="63" xfId="0" applyNumberFormat="1" applyFont="1" applyBorder="1" applyAlignment="1">
      <alignment horizontal="left"/>
    </xf>
    <xf numFmtId="1" fontId="40" fillId="0" borderId="61" xfId="0" applyNumberFormat="1" applyFont="1" applyBorder="1" applyAlignment="1">
      <alignment horizontal="left"/>
    </xf>
    <xf numFmtId="1" fontId="40" fillId="0" borderId="64" xfId="0" applyNumberFormat="1" applyFont="1" applyBorder="1" applyAlignment="1">
      <alignment horizontal="left"/>
    </xf>
    <xf numFmtId="2" fontId="40" fillId="0" borderId="60" xfId="0" applyNumberFormat="1" applyFont="1" applyBorder="1" applyAlignment="1">
      <alignment horizontal="left"/>
    </xf>
    <xf numFmtId="2" fontId="40" fillId="0" borderId="65" xfId="0" applyNumberFormat="1" applyFont="1" applyBorder="1" applyAlignment="1">
      <alignment horizontal="left"/>
    </xf>
    <xf numFmtId="0" fontId="39" fillId="0" borderId="63" xfId="0" applyFont="1" applyBorder="1" applyAlignment="1">
      <alignment horizontal="left"/>
    </xf>
    <xf numFmtId="0" fontId="40" fillId="0" borderId="0" xfId="0" applyFont="1"/>
    <xf numFmtId="0" fontId="36" fillId="0" borderId="48" xfId="0" applyFont="1" applyBorder="1" applyAlignment="1">
      <alignment horizontal="left"/>
    </xf>
    <xf numFmtId="0" fontId="37" fillId="0" borderId="55" xfId="0" applyFont="1" applyBorder="1"/>
    <xf numFmtId="0" fontId="37" fillId="0" borderId="56" xfId="0" applyFont="1" applyBorder="1"/>
    <xf numFmtId="0" fontId="37" fillId="0" borderId="48" xfId="0" applyFont="1" applyBorder="1"/>
    <xf numFmtId="0" fontId="35" fillId="0" borderId="55" xfId="0" applyFont="1" applyBorder="1" applyAlignment="1">
      <alignment horizontal="left"/>
    </xf>
    <xf numFmtId="0" fontId="35" fillId="0" borderId="12" xfId="0" applyFont="1" applyBorder="1" applyAlignment="1">
      <alignment horizontal="left"/>
    </xf>
    <xf numFmtId="0" fontId="35" fillId="0" borderId="57" xfId="0" applyFont="1" applyBorder="1" applyAlignment="1">
      <alignment horizontal="left"/>
    </xf>
    <xf numFmtId="0" fontId="35" fillId="0" borderId="0" xfId="0" applyFont="1" applyAlignment="1">
      <alignment horizontal="left"/>
    </xf>
    <xf numFmtId="0" fontId="39" fillId="0" borderId="61" xfId="0" applyFont="1" applyBorder="1" applyAlignment="1">
      <alignment horizontal="left"/>
    </xf>
    <xf numFmtId="0" fontId="20" fillId="0" borderId="34" xfId="0" applyFont="1" applyBorder="1" applyAlignment="1">
      <alignment horizontal="left"/>
    </xf>
    <xf numFmtId="0" fontId="21" fillId="0" borderId="25" xfId="0" applyFont="1" applyBorder="1"/>
    <xf numFmtId="0" fontId="25" fillId="0" borderId="66" xfId="0" applyFont="1" applyBorder="1" applyAlignment="1">
      <alignment horizontal="left"/>
    </xf>
    <xf numFmtId="0" fontId="25" fillId="0" borderId="34" xfId="0" applyFont="1" applyBorder="1" applyAlignment="1">
      <alignment horizontal="left"/>
    </xf>
    <xf numFmtId="172" fontId="20" fillId="0" borderId="67" xfId="0" applyNumberFormat="1" applyFont="1" applyBorder="1" applyAlignment="1">
      <alignment horizontal="left"/>
    </xf>
    <xf numFmtId="0" fontId="21" fillId="0" borderId="31" xfId="0" applyFont="1" applyBorder="1"/>
    <xf numFmtId="0" fontId="35" fillId="0" borderId="59" xfId="0" applyFont="1" applyBorder="1" applyAlignment="1">
      <alignment horizontal="left" vertical="justify" wrapText="1"/>
    </xf>
    <xf numFmtId="0" fontId="36" fillId="0" borderId="64" xfId="0" applyFont="1" applyFill="1" applyBorder="1" applyAlignment="1">
      <alignment horizontal="left" vertical="justify" wrapText="1"/>
    </xf>
    <xf numFmtId="0" fontId="35" fillId="0" borderId="0" xfId="0" applyFont="1" applyAlignment="1">
      <alignment horizontal="left" vertical="justify" wrapText="1"/>
    </xf>
    <xf numFmtId="2" fontId="36" fillId="0" borderId="59" xfId="0" applyNumberFormat="1" applyFont="1" applyBorder="1" applyAlignment="1">
      <alignment horizontal="left"/>
    </xf>
    <xf numFmtId="2" fontId="36" fillId="0" borderId="64" xfId="0" applyNumberFormat="1" applyFont="1" applyBorder="1" applyAlignment="1">
      <alignment horizontal="left" vertical="center"/>
    </xf>
    <xf numFmtId="2" fontId="36" fillId="0" borderId="64" xfId="0" applyNumberFormat="1" applyFont="1" applyBorder="1" applyAlignment="1">
      <alignment horizontal="left"/>
    </xf>
    <xf numFmtId="2" fontId="36" fillId="0" borderId="64" xfId="2" applyNumberFormat="1" applyFont="1" applyBorder="1" applyAlignment="1">
      <alignment horizontal="left"/>
    </xf>
    <xf numFmtId="2" fontId="36" fillId="0" borderId="64" xfId="0" applyNumberFormat="1" applyFont="1" applyBorder="1" applyAlignment="1">
      <alignment horizontal="left" wrapText="1"/>
    </xf>
    <xf numFmtId="2" fontId="36" fillId="0" borderId="64" xfId="0" applyNumberFormat="1" applyFont="1" applyFill="1" applyBorder="1" applyAlignment="1">
      <alignment horizontal="left"/>
    </xf>
    <xf numFmtId="2" fontId="36" fillId="0" borderId="59" xfId="1" applyNumberFormat="1" applyFont="1" applyBorder="1" applyAlignment="1">
      <alignment horizontal="left"/>
    </xf>
    <xf numFmtId="2" fontId="36" fillId="0" borderId="63" xfId="0" applyNumberFormat="1" applyFont="1" applyBorder="1" applyAlignment="1">
      <alignment horizontal="left"/>
    </xf>
    <xf numFmtId="2" fontId="35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" fontId="39" fillId="0" borderId="42" xfId="0" applyNumberFormat="1" applyFont="1" applyBorder="1" applyAlignment="1">
      <alignment horizontal="left"/>
    </xf>
    <xf numFmtId="1" fontId="26" fillId="0" borderId="68" xfId="0" applyNumberFormat="1" applyFont="1" applyBorder="1" applyAlignment="1">
      <alignment horizontal="left"/>
    </xf>
    <xf numFmtId="1" fontId="26" fillId="0" borderId="42" xfId="0" applyNumberFormat="1" applyFont="1" applyBorder="1" applyAlignment="1">
      <alignment horizontal="left"/>
    </xf>
    <xf numFmtId="1" fontId="40" fillId="0" borderId="62" xfId="0" applyNumberFormat="1" applyFont="1" applyBorder="1" applyAlignment="1">
      <alignment horizontal="left"/>
    </xf>
    <xf numFmtId="1" fontId="40" fillId="0" borderId="68" xfId="0" applyNumberFormat="1" applyFont="1" applyBorder="1" applyAlignment="1">
      <alignment horizontal="left"/>
    </xf>
    <xf numFmtId="1" fontId="39" fillId="0" borderId="68" xfId="0" applyNumberFormat="1" applyFont="1" applyBorder="1" applyAlignment="1">
      <alignment horizontal="left" vertical="center"/>
    </xf>
    <xf numFmtId="1" fontId="26" fillId="0" borderId="69" xfId="0" applyNumberFormat="1" applyFont="1" applyBorder="1" applyAlignment="1">
      <alignment horizontal="left"/>
    </xf>
    <xf numFmtId="1" fontId="26" fillId="0" borderId="39" xfId="0" applyNumberFormat="1" applyFont="1" applyBorder="1" applyAlignment="1">
      <alignment horizontal="left"/>
    </xf>
    <xf numFmtId="1" fontId="26" fillId="0" borderId="60" xfId="0" applyNumberFormat="1" applyFont="1" applyBorder="1" applyAlignment="1">
      <alignment horizontal="left"/>
    </xf>
    <xf numFmtId="1" fontId="40" fillId="0" borderId="60" xfId="0" applyNumberFormat="1" applyFont="1" applyBorder="1" applyAlignment="1">
      <alignment horizontal="left"/>
    </xf>
    <xf numFmtId="1" fontId="39" fillId="0" borderId="45" xfId="0" applyNumberFormat="1" applyFont="1" applyBorder="1" applyAlignment="1">
      <alignment horizontal="left" vertical="center"/>
    </xf>
    <xf numFmtId="0" fontId="26" fillId="0" borderId="62" xfId="0" applyFont="1" applyBorder="1" applyAlignment="1">
      <alignment horizontal="left"/>
    </xf>
    <xf numFmtId="2" fontId="26" fillId="0" borderId="52" xfId="0" applyNumberFormat="1" applyFont="1" applyBorder="1" applyAlignment="1">
      <alignment horizontal="left"/>
    </xf>
    <xf numFmtId="2" fontId="40" fillId="0" borderId="29" xfId="0" applyNumberFormat="1" applyFont="1" applyBorder="1" applyAlignment="1">
      <alignment horizontal="left"/>
    </xf>
    <xf numFmtId="0" fontId="39" fillId="0" borderId="64" xfId="0" applyFont="1" applyBorder="1" applyAlignment="1">
      <alignment horizontal="left"/>
    </xf>
    <xf numFmtId="0" fontId="24" fillId="0" borderId="26" xfId="0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2" fontId="39" fillId="0" borderId="42" xfId="0" applyNumberFormat="1" applyFont="1" applyBorder="1" applyAlignment="1">
      <alignment horizontal="left" vertical="center"/>
    </xf>
    <xf numFmtId="0" fontId="26" fillId="0" borderId="68" xfId="0" applyFont="1" applyBorder="1" applyAlignment="1">
      <alignment horizontal="left"/>
    </xf>
    <xf numFmtId="2" fontId="26" fillId="0" borderId="69" xfId="0" applyNumberFormat="1" applyFont="1" applyBorder="1" applyAlignment="1">
      <alignment horizontal="left"/>
    </xf>
    <xf numFmtId="2" fontId="40" fillId="0" borderId="70" xfId="0" applyNumberFormat="1" applyFont="1" applyBorder="1" applyAlignment="1">
      <alignment horizontal="left"/>
    </xf>
    <xf numFmtId="1" fontId="24" fillId="0" borderId="58" xfId="0" applyNumberFormat="1" applyFont="1" applyFill="1" applyBorder="1" applyAlignment="1">
      <alignment horizontal="center" vertical="justify" wrapText="1"/>
    </xf>
    <xf numFmtId="1" fontId="39" fillId="0" borderId="59" xfId="0" applyNumberFormat="1" applyFont="1" applyBorder="1" applyAlignment="1">
      <alignment horizontal="center" vertical="justify" wrapText="1"/>
    </xf>
    <xf numFmtId="1" fontId="39" fillId="0" borderId="63" xfId="0" applyNumberFormat="1" applyFont="1" applyBorder="1" applyAlignment="1">
      <alignment horizontal="center" vertical="justify" wrapText="1"/>
    </xf>
    <xf numFmtId="1" fontId="24" fillId="0" borderId="47" xfId="0" applyNumberFormat="1" applyFont="1" applyFill="1" applyBorder="1" applyAlignment="1">
      <alignment horizontal="center" vertical="center" wrapText="1"/>
    </xf>
    <xf numFmtId="1" fontId="22" fillId="0" borderId="1" xfId="2" applyNumberFormat="1" applyFont="1" applyBorder="1" applyAlignment="1">
      <alignment horizontal="left"/>
    </xf>
    <xf numFmtId="1" fontId="22" fillId="0" borderId="4" xfId="1" applyNumberFormat="1" applyFont="1" applyBorder="1" applyAlignment="1">
      <alignment horizontal="left"/>
    </xf>
    <xf numFmtId="1" fontId="21" fillId="0" borderId="13" xfId="0" applyNumberFormat="1" applyFont="1" applyBorder="1" applyAlignment="1">
      <alignment horizontal="left"/>
    </xf>
    <xf numFmtId="1" fontId="21" fillId="0" borderId="12" xfId="0" applyNumberFormat="1" applyFont="1" applyBorder="1" applyAlignment="1">
      <alignment horizontal="left"/>
    </xf>
    <xf numFmtId="1" fontId="21" fillId="0" borderId="54" xfId="0" applyNumberFormat="1" applyFont="1" applyBorder="1" applyAlignment="1">
      <alignment horizontal="left"/>
    </xf>
    <xf numFmtId="0" fontId="27" fillId="0" borderId="59" xfId="0" applyFont="1" applyBorder="1" applyAlignment="1">
      <alignment horizontal="left"/>
    </xf>
    <xf numFmtId="0" fontId="21" fillId="0" borderId="71" xfId="0" applyFont="1" applyBorder="1"/>
    <xf numFmtId="0" fontId="21" fillId="0" borderId="56" xfId="0" applyFont="1" applyBorder="1"/>
    <xf numFmtId="1" fontId="24" fillId="0" borderId="47" xfId="0" applyNumberFormat="1" applyFont="1" applyFill="1" applyBorder="1" applyAlignment="1">
      <alignment horizontal="center" vertical="justify" wrapText="1"/>
    </xf>
    <xf numFmtId="0" fontId="21" fillId="0" borderId="32" xfId="0" applyFont="1" applyBorder="1"/>
    <xf numFmtId="0" fontId="21" fillId="0" borderId="10" xfId="0" applyFont="1" applyBorder="1"/>
    <xf numFmtId="0" fontId="21" fillId="0" borderId="72" xfId="0" applyFont="1" applyBorder="1"/>
    <xf numFmtId="0" fontId="21" fillId="0" borderId="15" xfId="0" applyFont="1" applyBorder="1"/>
    <xf numFmtId="2" fontId="17" fillId="0" borderId="33" xfId="0" applyNumberFormat="1" applyFont="1" applyBorder="1" applyAlignment="1">
      <alignment horizontal="left"/>
    </xf>
    <xf numFmtId="2" fontId="17" fillId="0" borderId="24" xfId="0" applyNumberFormat="1" applyFont="1" applyBorder="1" applyAlignment="1">
      <alignment horizontal="left"/>
    </xf>
    <xf numFmtId="2" fontId="16" fillId="0" borderId="44" xfId="0" applyNumberFormat="1" applyFont="1" applyBorder="1" applyAlignment="1">
      <alignment horizontal="left"/>
    </xf>
    <xf numFmtId="2" fontId="17" fillId="0" borderId="7" xfId="2" applyNumberFormat="1" applyFont="1" applyBorder="1" applyAlignment="1">
      <alignment horizontal="left"/>
    </xf>
    <xf numFmtId="2" fontId="3" fillId="0" borderId="2" xfId="0" applyNumberFormat="1" applyFont="1" applyBorder="1" applyAlignment="1">
      <alignment horizontal="left"/>
    </xf>
    <xf numFmtId="2" fontId="22" fillId="0" borderId="7" xfId="0" applyNumberFormat="1" applyFont="1" applyBorder="1" applyAlignment="1">
      <alignment horizontal="left" wrapText="1"/>
    </xf>
    <xf numFmtId="2" fontId="22" fillId="0" borderId="2" xfId="0" applyNumberFormat="1" applyFont="1" applyBorder="1" applyAlignment="1">
      <alignment horizontal="left" wrapText="1"/>
    </xf>
    <xf numFmtId="2" fontId="22" fillId="0" borderId="20" xfId="0" applyNumberFormat="1" applyFont="1" applyBorder="1" applyAlignment="1">
      <alignment horizontal="left" wrapText="1"/>
    </xf>
    <xf numFmtId="2" fontId="22" fillId="0" borderId="42" xfId="0" applyNumberFormat="1" applyFont="1" applyBorder="1" applyAlignment="1">
      <alignment horizontal="left" wrapText="1"/>
    </xf>
    <xf numFmtId="1" fontId="17" fillId="0" borderId="20" xfId="0" applyNumberFormat="1" applyFont="1" applyBorder="1" applyAlignment="1">
      <alignment horizontal="left" vertical="center"/>
    </xf>
    <xf numFmtId="1" fontId="17" fillId="0" borderId="21" xfId="0" applyNumberFormat="1" applyFont="1" applyBorder="1" applyAlignment="1">
      <alignment horizontal="left" vertical="center"/>
    </xf>
    <xf numFmtId="1" fontId="17" fillId="0" borderId="23" xfId="0" applyNumberFormat="1" applyFont="1" applyBorder="1" applyAlignment="1">
      <alignment horizontal="left"/>
    </xf>
    <xf numFmtId="1" fontId="17" fillId="0" borderId="21" xfId="0" applyNumberFormat="1" applyFont="1" applyBorder="1" applyAlignment="1">
      <alignment horizontal="left"/>
    </xf>
    <xf numFmtId="1" fontId="17" fillId="0" borderId="22" xfId="0" applyNumberFormat="1" applyFont="1" applyBorder="1" applyAlignment="1">
      <alignment horizontal="left"/>
    </xf>
    <xf numFmtId="1" fontId="17" fillId="0" borderId="20" xfId="0" applyNumberFormat="1" applyFont="1" applyBorder="1" applyAlignment="1">
      <alignment horizontal="left"/>
    </xf>
    <xf numFmtId="2" fontId="17" fillId="0" borderId="20" xfId="0" applyNumberFormat="1" applyFont="1" applyBorder="1" applyAlignment="1">
      <alignment horizontal="left" wrapText="1"/>
    </xf>
    <xf numFmtId="1" fontId="17" fillId="0" borderId="23" xfId="0" applyNumberFormat="1" applyFont="1" applyFill="1" applyBorder="1" applyAlignment="1">
      <alignment horizontal="left"/>
    </xf>
    <xf numFmtId="1" fontId="17" fillId="0" borderId="20" xfId="1" applyNumberFormat="1" applyFont="1" applyBorder="1" applyAlignment="1">
      <alignment horizontal="left"/>
    </xf>
    <xf numFmtId="1" fontId="16" fillId="0" borderId="18" xfId="0" applyNumberFormat="1" applyFont="1" applyBorder="1" applyAlignment="1">
      <alignment horizontal="left"/>
    </xf>
    <xf numFmtId="1" fontId="28" fillId="0" borderId="62" xfId="0" applyNumberFormat="1" applyFont="1" applyBorder="1" applyAlignment="1">
      <alignment horizontal="left" vertical="center"/>
    </xf>
    <xf numFmtId="1" fontId="28" fillId="0" borderId="64" xfId="0" applyNumberFormat="1" applyFont="1" applyBorder="1" applyAlignment="1">
      <alignment horizontal="left" vertical="center"/>
    </xf>
    <xf numFmtId="1" fontId="28" fillId="0" borderId="65" xfId="0" applyNumberFormat="1" applyFont="1" applyBorder="1" applyAlignment="1">
      <alignment horizontal="left" vertical="center"/>
    </xf>
    <xf numFmtId="1" fontId="28" fillId="0" borderId="68" xfId="0" applyNumberFormat="1" applyFont="1" applyBorder="1" applyAlignment="1">
      <alignment horizontal="left" vertical="center"/>
    </xf>
    <xf numFmtId="1" fontId="28" fillId="0" borderId="60" xfId="0" applyNumberFormat="1" applyFont="1" applyBorder="1" applyAlignment="1">
      <alignment horizontal="left" vertical="center"/>
    </xf>
    <xf numFmtId="1" fontId="28" fillId="0" borderId="59" xfId="0" applyNumberFormat="1" applyFont="1" applyBorder="1" applyAlignment="1">
      <alignment horizontal="left" vertical="center"/>
    </xf>
    <xf numFmtId="1" fontId="28" fillId="0" borderId="62" xfId="0" applyNumberFormat="1" applyFont="1" applyBorder="1" applyAlignment="1">
      <alignment horizontal="left"/>
    </xf>
    <xf numFmtId="1" fontId="28" fillId="0" borderId="65" xfId="0" applyNumberFormat="1" applyFont="1" applyBorder="1" applyAlignment="1">
      <alignment horizontal="left"/>
    </xf>
    <xf numFmtId="1" fontId="29" fillId="0" borderId="62" xfId="1" applyNumberFormat="1" applyFont="1" applyBorder="1" applyAlignment="1">
      <alignment horizontal="left"/>
    </xf>
    <xf numFmtId="1" fontId="29" fillId="0" borderId="60" xfId="1" applyNumberFormat="1" applyFont="1" applyBorder="1" applyAlignment="1">
      <alignment horizontal="left"/>
    </xf>
    <xf numFmtId="1" fontId="28" fillId="0" borderId="63" xfId="0" applyNumberFormat="1" applyFont="1" applyBorder="1" applyAlignment="1">
      <alignment horizontal="left"/>
    </xf>
    <xf numFmtId="1" fontId="16" fillId="0" borderId="20" xfId="0" applyNumberFormat="1" applyFont="1" applyBorder="1" applyAlignment="1">
      <alignment horizontal="left" vertical="center"/>
    </xf>
    <xf numFmtId="1" fontId="16" fillId="0" borderId="25" xfId="0" applyNumberFormat="1" applyFont="1" applyBorder="1" applyAlignment="1">
      <alignment horizontal="left" vertical="center"/>
    </xf>
    <xf numFmtId="1" fontId="16" fillId="0" borderId="23" xfId="0" applyNumberFormat="1" applyFont="1" applyBorder="1" applyAlignment="1">
      <alignment horizontal="left"/>
    </xf>
    <xf numFmtId="1" fontId="2" fillId="0" borderId="21" xfId="0" applyNumberFormat="1" applyFont="1" applyBorder="1" applyAlignment="1">
      <alignment horizontal="left"/>
    </xf>
    <xf numFmtId="1" fontId="2" fillId="0" borderId="22" xfId="0" applyNumberFormat="1" applyFont="1" applyBorder="1" applyAlignment="1">
      <alignment horizontal="left"/>
    </xf>
    <xf numFmtId="1" fontId="17" fillId="0" borderId="20" xfId="0" applyNumberFormat="1" applyFont="1" applyFill="1" applyBorder="1" applyAlignment="1">
      <alignment horizontal="left" vertical="top" wrapText="1"/>
    </xf>
    <xf numFmtId="1" fontId="5" fillId="0" borderId="24" xfId="0" applyNumberFormat="1" applyFont="1" applyFill="1" applyBorder="1" applyAlignment="1">
      <alignment horizontal="left"/>
    </xf>
    <xf numFmtId="1" fontId="16" fillId="0" borderId="23" xfId="0" applyNumberFormat="1" applyFont="1" applyBorder="1" applyAlignment="1">
      <alignment horizontal="left" vertical="center"/>
    </xf>
    <xf numFmtId="1" fontId="16" fillId="0" borderId="20" xfId="0" applyNumberFormat="1" applyFont="1" applyBorder="1" applyAlignment="1">
      <alignment horizontal="left"/>
    </xf>
    <xf numFmtId="1" fontId="24" fillId="0" borderId="58" xfId="0" applyNumberFormat="1" applyFont="1" applyFill="1" applyBorder="1" applyAlignment="1">
      <alignment horizontal="center" vertical="center" wrapText="1"/>
    </xf>
    <xf numFmtId="1" fontId="22" fillId="0" borderId="2" xfId="0" applyNumberFormat="1" applyFont="1" applyBorder="1" applyAlignment="1">
      <alignment horizontal="left" wrapText="1"/>
    </xf>
    <xf numFmtId="1" fontId="39" fillId="0" borderId="12" xfId="0" applyNumberFormat="1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3" fontId="39" fillId="0" borderId="12" xfId="0" applyNumberFormat="1" applyFont="1" applyBorder="1" applyAlignment="1">
      <alignment horizontal="left"/>
    </xf>
    <xf numFmtId="1" fontId="21" fillId="0" borderId="57" xfId="0" applyNumberFormat="1" applyFont="1" applyBorder="1" applyAlignment="1">
      <alignment horizontal="left"/>
    </xf>
    <xf numFmtId="1" fontId="22" fillId="0" borderId="16" xfId="0" applyNumberFormat="1" applyFont="1" applyBorder="1" applyAlignment="1">
      <alignment horizontal="left" vertical="center"/>
    </xf>
    <xf numFmtId="0" fontId="23" fillId="0" borderId="73" xfId="0" applyFont="1" applyBorder="1" applyAlignment="1">
      <alignment horizontal="center" vertical="center"/>
    </xf>
    <xf numFmtId="0" fontId="19" fillId="0" borderId="35" xfId="0" applyFont="1" applyBorder="1" applyAlignment="1">
      <alignment horizontal="left"/>
    </xf>
    <xf numFmtId="0" fontId="21" fillId="0" borderId="35" xfId="0" applyFont="1" applyBorder="1"/>
    <xf numFmtId="2" fontId="22" fillId="0" borderId="31" xfId="0" applyNumberFormat="1" applyFont="1" applyBorder="1" applyAlignment="1">
      <alignment vertical="center"/>
    </xf>
    <xf numFmtId="2" fontId="22" fillId="0" borderId="25" xfId="0" applyNumberFormat="1" applyFont="1" applyBorder="1" applyAlignment="1">
      <alignment horizontal="right"/>
    </xf>
    <xf numFmtId="2" fontId="22" fillId="0" borderId="31" xfId="0" applyNumberFormat="1" applyFont="1" applyBorder="1" applyAlignment="1">
      <alignment horizontal="right"/>
    </xf>
    <xf numFmtId="2" fontId="17" fillId="0" borderId="25" xfId="0" applyNumberFormat="1" applyFont="1" applyBorder="1" applyAlignment="1">
      <alignment horizontal="right"/>
    </xf>
    <xf numFmtId="2" fontId="26" fillId="0" borderId="25" xfId="0" applyNumberFormat="1" applyFont="1" applyBorder="1" applyAlignment="1">
      <alignment horizontal="left"/>
    </xf>
    <xf numFmtId="2" fontId="22" fillId="0" borderId="25" xfId="1" applyNumberFormat="1" applyFont="1" applyBorder="1" applyAlignment="1">
      <alignment horizontal="right"/>
    </xf>
    <xf numFmtId="2" fontId="22" fillId="0" borderId="25" xfId="0" applyNumberFormat="1" applyFont="1" applyBorder="1" applyAlignment="1">
      <alignment horizontal="right" wrapText="1"/>
    </xf>
    <xf numFmtId="3" fontId="19" fillId="0" borderId="25" xfId="0" applyNumberFormat="1" applyFont="1" applyBorder="1" applyAlignment="1">
      <alignment horizontal="right"/>
    </xf>
    <xf numFmtId="2" fontId="22" fillId="0" borderId="25" xfId="0" applyNumberFormat="1" applyFont="1" applyFill="1" applyBorder="1" applyAlignment="1">
      <alignment horizontal="right"/>
    </xf>
    <xf numFmtId="0" fontId="42" fillId="0" borderId="64" xfId="0" applyFont="1" applyBorder="1" applyAlignment="1">
      <alignment horizontal="center" vertical="center"/>
    </xf>
    <xf numFmtId="1" fontId="23" fillId="0" borderId="7" xfId="0" applyNumberFormat="1" applyFont="1" applyBorder="1" applyAlignment="1">
      <alignment horizontal="left" vertical="center"/>
    </xf>
    <xf numFmtId="1" fontId="23" fillId="0" borderId="9" xfId="0" applyNumberFormat="1" applyFont="1" applyBorder="1" applyAlignment="1">
      <alignment horizontal="left" vertical="center"/>
    </xf>
    <xf numFmtId="1" fontId="23" fillId="0" borderId="8" xfId="0" applyNumberFormat="1" applyFont="1" applyBorder="1" applyAlignment="1">
      <alignment horizontal="left" vertical="center"/>
    </xf>
    <xf numFmtId="1" fontId="23" fillId="0" borderId="32" xfId="0" applyNumberFormat="1" applyFont="1" applyBorder="1" applyAlignment="1">
      <alignment horizontal="left" vertical="center"/>
    </xf>
    <xf numFmtId="1" fontId="43" fillId="0" borderId="8" xfId="0" applyNumberFormat="1" applyFont="1" applyBorder="1" applyAlignment="1">
      <alignment horizontal="left"/>
    </xf>
    <xf numFmtId="1" fontId="43" fillId="0" borderId="9" xfId="0" applyNumberFormat="1" applyFont="1" applyBorder="1" applyAlignment="1">
      <alignment horizontal="left"/>
    </xf>
    <xf numFmtId="1" fontId="43" fillId="0" borderId="4" xfId="0" applyNumberFormat="1" applyFont="1" applyBorder="1" applyAlignment="1">
      <alignment horizontal="left"/>
    </xf>
    <xf numFmtId="1" fontId="43" fillId="0" borderId="23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1" fontId="6" fillId="0" borderId="23" xfId="0" applyNumberFormat="1" applyFont="1" applyBorder="1" applyAlignment="1">
      <alignment horizontal="left"/>
    </xf>
    <xf numFmtId="1" fontId="27" fillId="0" borderId="66" xfId="0" applyNumberFormat="1" applyFont="1" applyBorder="1" applyAlignment="1">
      <alignment horizontal="left"/>
    </xf>
    <xf numFmtId="1" fontId="25" fillId="0" borderId="5" xfId="0" applyNumberFormat="1" applyFont="1" applyBorder="1" applyAlignment="1">
      <alignment horizontal="left"/>
    </xf>
    <xf numFmtId="1" fontId="25" fillId="0" borderId="4" xfId="0" applyNumberFormat="1" applyFont="1" applyBorder="1" applyAlignment="1">
      <alignment horizontal="left"/>
    </xf>
    <xf numFmtId="1" fontId="25" fillId="0" borderId="3" xfId="0" applyNumberFormat="1" applyFont="1" applyBorder="1" applyAlignment="1">
      <alignment horizontal="left"/>
    </xf>
    <xf numFmtId="1" fontId="16" fillId="0" borderId="0" xfId="0" applyNumberFormat="1" applyFont="1" applyAlignment="1">
      <alignment horizontal="left"/>
    </xf>
    <xf numFmtId="1" fontId="16" fillId="0" borderId="4" xfId="0" applyNumberFormat="1" applyFont="1" applyBorder="1" applyAlignment="1">
      <alignment horizontal="left" wrapText="1"/>
    </xf>
    <xf numFmtId="1" fontId="16" fillId="0" borderId="4" xfId="0" applyNumberFormat="1" applyFont="1" applyFill="1" applyBorder="1" applyAlignment="1">
      <alignment horizontal="left"/>
    </xf>
    <xf numFmtId="1" fontId="16" fillId="0" borderId="3" xfId="0" applyNumberFormat="1" applyFont="1" applyFill="1" applyBorder="1" applyAlignment="1">
      <alignment horizontal="left"/>
    </xf>
    <xf numFmtId="1" fontId="16" fillId="0" borderId="1" xfId="0" applyNumberFormat="1" applyFont="1" applyFill="1" applyBorder="1" applyAlignment="1">
      <alignment horizontal="left"/>
    </xf>
    <xf numFmtId="1" fontId="5" fillId="0" borderId="4" xfId="0" applyNumberFormat="1" applyFont="1" applyBorder="1" applyAlignment="1">
      <alignment horizontal="left"/>
    </xf>
    <xf numFmtId="1" fontId="16" fillId="0" borderId="33" xfId="0" applyNumberFormat="1" applyFont="1" applyBorder="1" applyAlignment="1">
      <alignment horizontal="left" vertical="center"/>
    </xf>
    <xf numFmtId="1" fontId="25" fillId="0" borderId="8" xfId="0" applyNumberFormat="1" applyFont="1" applyBorder="1" applyAlignment="1">
      <alignment horizontal="left"/>
    </xf>
    <xf numFmtId="1" fontId="16" fillId="0" borderId="10" xfId="0" applyNumberFormat="1" applyFont="1" applyBorder="1" applyAlignment="1">
      <alignment horizontal="left" vertical="center"/>
    </xf>
    <xf numFmtId="0" fontId="28" fillId="0" borderId="59" xfId="0" applyFont="1" applyBorder="1" applyAlignment="1">
      <alignment horizontal="left"/>
    </xf>
    <xf numFmtId="1" fontId="17" fillId="0" borderId="10" xfId="0" applyNumberFormat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" fontId="2" fillId="0" borderId="52" xfId="0" applyNumberFormat="1" applyFont="1" applyBorder="1" applyAlignment="1">
      <alignment horizontal="left" vertical="center"/>
    </xf>
    <xf numFmtId="1" fontId="2" fillId="0" borderId="51" xfId="0" applyNumberFormat="1" applyFont="1" applyBorder="1" applyAlignment="1">
      <alignment horizontal="left" vertical="center"/>
    </xf>
    <xf numFmtId="1" fontId="5" fillId="0" borderId="39" xfId="0" applyNumberFormat="1" applyFont="1" applyBorder="1" applyAlignment="1">
      <alignment horizontal="left"/>
    </xf>
    <xf numFmtId="1" fontId="5" fillId="0" borderId="51" xfId="0" applyNumberFormat="1" applyFont="1" applyBorder="1" applyAlignment="1">
      <alignment horizontal="left"/>
    </xf>
    <xf numFmtId="1" fontId="5" fillId="0" borderId="69" xfId="0" applyNumberFormat="1" applyFont="1" applyBorder="1" applyAlignment="1">
      <alignment horizontal="left"/>
    </xf>
    <xf numFmtId="1" fontId="5" fillId="0" borderId="52" xfId="0" applyNumberFormat="1" applyFont="1" applyBorder="1" applyAlignment="1">
      <alignment horizontal="left"/>
    </xf>
    <xf numFmtId="1" fontId="2" fillId="0" borderId="39" xfId="0" applyNumberFormat="1" applyFont="1" applyBorder="1" applyAlignment="1">
      <alignment horizontal="left"/>
    </xf>
    <xf numFmtId="1" fontId="2" fillId="0" borderId="51" xfId="0" applyNumberFormat="1" applyFont="1" applyBorder="1" applyAlignment="1">
      <alignment horizontal="left"/>
    </xf>
    <xf numFmtId="1" fontId="2" fillId="0" borderId="69" xfId="0" applyNumberFormat="1" applyFont="1" applyBorder="1" applyAlignment="1">
      <alignment horizontal="left"/>
    </xf>
    <xf numFmtId="1" fontId="2" fillId="0" borderId="52" xfId="0" applyNumberFormat="1" applyFont="1" applyBorder="1" applyAlignment="1">
      <alignment horizontal="left"/>
    </xf>
    <xf numFmtId="2" fontId="5" fillId="0" borderId="52" xfId="0" applyNumberFormat="1" applyFont="1" applyBorder="1" applyAlignment="1">
      <alignment horizontal="left" wrapText="1"/>
    </xf>
    <xf numFmtId="0" fontId="5" fillId="0" borderId="69" xfId="0" applyFont="1" applyBorder="1" applyAlignment="1">
      <alignment horizontal="left"/>
    </xf>
    <xf numFmtId="1" fontId="5" fillId="0" borderId="39" xfId="0" applyNumberFormat="1" applyFont="1" applyFill="1" applyBorder="1" applyAlignment="1">
      <alignment horizontal="left"/>
    </xf>
    <xf numFmtId="1" fontId="5" fillId="0" borderId="69" xfId="1" applyNumberFormat="1" applyFont="1" applyBorder="1" applyAlignment="1">
      <alignment horizontal="left"/>
    </xf>
    <xf numFmtId="1" fontId="5" fillId="0" borderId="52" xfId="1" applyNumberFormat="1" applyFont="1" applyBorder="1" applyAlignment="1">
      <alignment horizontal="left"/>
    </xf>
    <xf numFmtId="1" fontId="2" fillId="0" borderId="18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1" fontId="28" fillId="0" borderId="74" xfId="0" applyNumberFormat="1" applyFont="1" applyBorder="1" applyAlignment="1">
      <alignment horizontal="left" vertical="center"/>
    </xf>
    <xf numFmtId="1" fontId="28" fillId="0" borderId="63" xfId="0" applyNumberFormat="1" applyFont="1" applyBorder="1" applyAlignment="1">
      <alignment horizontal="left" vertical="center"/>
    </xf>
    <xf numFmtId="1" fontId="16" fillId="0" borderId="21" xfId="0" applyNumberFormat="1" applyFont="1" applyBorder="1" applyAlignment="1">
      <alignment horizontal="left"/>
    </xf>
    <xf numFmtId="1" fontId="16" fillId="0" borderId="22" xfId="0" applyNumberFormat="1" applyFont="1" applyBorder="1" applyAlignment="1">
      <alignment horizontal="left"/>
    </xf>
    <xf numFmtId="1" fontId="16" fillId="0" borderId="23" xfId="0" applyNumberFormat="1" applyFont="1" applyBorder="1" applyAlignment="1">
      <alignment horizontal="left" wrapText="1"/>
    </xf>
    <xf numFmtId="1" fontId="25" fillId="0" borderId="23" xfId="0" applyNumberFormat="1" applyFont="1" applyBorder="1" applyAlignment="1">
      <alignment horizontal="left"/>
    </xf>
    <xf numFmtId="1" fontId="25" fillId="0" borderId="21" xfId="0" applyNumberFormat="1" applyFont="1" applyBorder="1" applyAlignment="1">
      <alignment horizontal="left"/>
    </xf>
    <xf numFmtId="1" fontId="16" fillId="0" borderId="23" xfId="0" applyNumberFormat="1" applyFont="1" applyFill="1" applyBorder="1" applyAlignment="1">
      <alignment horizontal="left"/>
    </xf>
    <xf numFmtId="1" fontId="16" fillId="0" borderId="21" xfId="0" applyNumberFormat="1" applyFont="1" applyFill="1" applyBorder="1" applyAlignment="1">
      <alignment horizontal="left"/>
    </xf>
    <xf numFmtId="1" fontId="16" fillId="0" borderId="23" xfId="1" applyNumberFormat="1" applyFont="1" applyBorder="1" applyAlignment="1">
      <alignment horizontal="left"/>
    </xf>
    <xf numFmtId="1" fontId="16" fillId="0" borderId="21" xfId="1" applyNumberFormat="1" applyFont="1" applyBorder="1" applyAlignment="1">
      <alignment horizontal="left"/>
    </xf>
    <xf numFmtId="1" fontId="16" fillId="0" borderId="52" xfId="0" applyNumberFormat="1" applyFont="1" applyBorder="1" applyAlignment="1">
      <alignment horizontal="left" vertical="center"/>
    </xf>
    <xf numFmtId="1" fontId="17" fillId="0" borderId="39" xfId="0" applyNumberFormat="1" applyFont="1" applyBorder="1" applyAlignment="1">
      <alignment horizontal="left"/>
    </xf>
    <xf numFmtId="1" fontId="17" fillId="0" borderId="51" xfId="0" applyNumberFormat="1" applyFont="1" applyBorder="1" applyAlignment="1">
      <alignment horizontal="left"/>
    </xf>
    <xf numFmtId="1" fontId="17" fillId="0" borderId="69" xfId="0" applyNumberFormat="1" applyFont="1" applyBorder="1" applyAlignment="1">
      <alignment horizontal="left"/>
    </xf>
    <xf numFmtId="2" fontId="17" fillId="0" borderId="51" xfId="0" applyNumberFormat="1" applyFont="1" applyBorder="1" applyAlignment="1">
      <alignment horizontal="left"/>
    </xf>
    <xf numFmtId="1" fontId="17" fillId="0" borderId="75" xfId="0" applyNumberFormat="1" applyFont="1" applyBorder="1" applyAlignment="1">
      <alignment horizontal="left"/>
    </xf>
    <xf numFmtId="0" fontId="17" fillId="0" borderId="52" xfId="0" applyFont="1" applyBorder="1" applyAlignment="1">
      <alignment horizontal="left"/>
    </xf>
    <xf numFmtId="2" fontId="17" fillId="0" borderId="39" xfId="0" applyNumberFormat="1" applyFont="1" applyBorder="1" applyAlignment="1">
      <alignment horizontal="left" wrapText="1"/>
    </xf>
    <xf numFmtId="0" fontId="20" fillId="0" borderId="39" xfId="0" applyFont="1" applyBorder="1" applyAlignment="1">
      <alignment horizontal="left"/>
    </xf>
    <xf numFmtId="0" fontId="20" fillId="0" borderId="51" xfId="0" applyFont="1" applyBorder="1" applyAlignment="1">
      <alignment horizontal="left"/>
    </xf>
    <xf numFmtId="1" fontId="17" fillId="0" borderId="39" xfId="0" applyNumberFormat="1" applyFont="1" applyFill="1" applyBorder="1" applyAlignment="1">
      <alignment horizontal="left"/>
    </xf>
    <xf numFmtId="1" fontId="17" fillId="0" borderId="51" xfId="0" applyNumberFormat="1" applyFont="1" applyFill="1" applyBorder="1" applyAlignment="1">
      <alignment horizontal="left"/>
    </xf>
    <xf numFmtId="1" fontId="17" fillId="0" borderId="39" xfId="1" applyNumberFormat="1" applyFont="1" applyBorder="1" applyAlignment="1">
      <alignment horizontal="left"/>
    </xf>
    <xf numFmtId="1" fontId="17" fillId="0" borderId="51" xfId="1" applyNumberFormat="1" applyFont="1" applyBorder="1" applyAlignment="1">
      <alignment horizontal="left"/>
    </xf>
    <xf numFmtId="1" fontId="16" fillId="0" borderId="39" xfId="0" applyNumberFormat="1" applyFont="1" applyBorder="1" applyAlignment="1">
      <alignment horizontal="left" vertical="center"/>
    </xf>
    <xf numFmtId="1" fontId="16" fillId="0" borderId="18" xfId="0" applyNumberFormat="1" applyFont="1" applyBorder="1" applyAlignment="1">
      <alignment horizontal="left" vertical="center"/>
    </xf>
    <xf numFmtId="0" fontId="21" fillId="0" borderId="17" xfId="0" applyFont="1" applyBorder="1" applyAlignment="1">
      <alignment horizontal="left"/>
    </xf>
    <xf numFmtId="0" fontId="21" fillId="0" borderId="16" xfId="0" applyFont="1" applyBorder="1" applyAlignment="1">
      <alignment horizontal="left"/>
    </xf>
    <xf numFmtId="0" fontId="21" fillId="0" borderId="41" xfId="0" applyFont="1" applyBorder="1" applyAlignment="1">
      <alignment horizontal="left"/>
    </xf>
    <xf numFmtId="0" fontId="21" fillId="0" borderId="76" xfId="0" applyFont="1" applyBorder="1" applyAlignment="1">
      <alignment horizontal="left"/>
    </xf>
    <xf numFmtId="0" fontId="21" fillId="0" borderId="77" xfId="0" applyFont="1" applyBorder="1" applyAlignment="1">
      <alignment horizontal="left"/>
    </xf>
    <xf numFmtId="0" fontId="21" fillId="0" borderId="19" xfId="0" applyFont="1" applyBorder="1" applyAlignment="1">
      <alignment horizontal="left"/>
    </xf>
    <xf numFmtId="0" fontId="22" fillId="0" borderId="17" xfId="0" applyFont="1" applyBorder="1" applyAlignment="1">
      <alignment horizontal="left"/>
    </xf>
    <xf numFmtId="0" fontId="4" fillId="0" borderId="64" xfId="0" applyFont="1" applyBorder="1" applyAlignment="1">
      <alignment horizontal="center" vertical="justify" wrapText="1"/>
    </xf>
    <xf numFmtId="0" fontId="4" fillId="0" borderId="61" xfId="0" applyFont="1" applyBorder="1" applyAlignment="1">
      <alignment horizontal="center" vertical="justify" wrapText="1"/>
    </xf>
    <xf numFmtId="0" fontId="4" fillId="0" borderId="63" xfId="0" applyFont="1" applyBorder="1" applyAlignment="1">
      <alignment horizontal="center" vertical="justify" wrapText="1"/>
    </xf>
    <xf numFmtId="0" fontId="4" fillId="0" borderId="0" xfId="0" applyFont="1" applyBorder="1" applyAlignment="1">
      <alignment horizontal="center" vertical="justify" wrapText="1"/>
    </xf>
    <xf numFmtId="2" fontId="17" fillId="0" borderId="1" xfId="0" applyNumberFormat="1" applyFont="1" applyBorder="1" applyAlignment="1">
      <alignment horizontal="left" vertical="center"/>
    </xf>
    <xf numFmtId="1" fontId="4" fillId="0" borderId="64" xfId="0" applyNumberFormat="1" applyFont="1" applyBorder="1" applyAlignment="1">
      <alignment horizontal="center" vertical="justify" wrapText="1"/>
    </xf>
    <xf numFmtId="1" fontId="4" fillId="0" borderId="61" xfId="0" applyNumberFormat="1" applyFont="1" applyBorder="1" applyAlignment="1">
      <alignment horizontal="center" vertical="justify" wrapText="1"/>
    </xf>
    <xf numFmtId="0" fontId="4" fillId="0" borderId="73" xfId="0" applyFont="1" applyBorder="1" applyAlignment="1">
      <alignment horizontal="center" vertical="justify" wrapText="1"/>
    </xf>
    <xf numFmtId="0" fontId="4" fillId="0" borderId="49" xfId="0" applyFont="1" applyBorder="1" applyAlignment="1">
      <alignment horizontal="center" vertical="justify" wrapText="1"/>
    </xf>
    <xf numFmtId="0" fontId="4" fillId="0" borderId="58" xfId="0" applyFont="1" applyBorder="1" applyAlignment="1">
      <alignment horizontal="center" vertical="justify" wrapText="1"/>
    </xf>
    <xf numFmtId="2" fontId="2" fillId="0" borderId="38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2" fontId="2" fillId="0" borderId="69" xfId="0" applyNumberFormat="1" applyFont="1" applyBorder="1" applyAlignment="1">
      <alignment horizontal="left" vertical="center"/>
    </xf>
    <xf numFmtId="2" fontId="2" fillId="0" borderId="9" xfId="0" applyNumberFormat="1" applyFont="1" applyBorder="1" applyAlignment="1">
      <alignment horizontal="left" vertical="center"/>
    </xf>
    <xf numFmtId="0" fontId="10" fillId="0" borderId="38" xfId="0" applyFont="1" applyBorder="1" applyAlignment="1">
      <alignment horizontal="left"/>
    </xf>
    <xf numFmtId="0" fontId="10" fillId="0" borderId="38" xfId="0" applyFont="1" applyFill="1" applyBorder="1" applyAlignment="1">
      <alignment horizontal="right"/>
    </xf>
    <xf numFmtId="1" fontId="2" fillId="0" borderId="7" xfId="0" applyNumberFormat="1" applyFont="1" applyBorder="1" applyAlignment="1">
      <alignment horizontal="left" vertical="center"/>
    </xf>
    <xf numFmtId="2" fontId="2" fillId="0" borderId="32" xfId="0" applyNumberFormat="1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justify" wrapText="1"/>
    </xf>
    <xf numFmtId="0" fontId="4" fillId="0" borderId="43" xfId="0" applyFont="1" applyBorder="1" applyAlignment="1">
      <alignment horizontal="center" vertical="justify" wrapText="1"/>
    </xf>
    <xf numFmtId="0" fontId="4" fillId="0" borderId="45" xfId="0" applyFont="1" applyBorder="1" applyAlignment="1">
      <alignment horizontal="center" vertical="justify" wrapText="1"/>
    </xf>
    <xf numFmtId="0" fontId="44" fillId="0" borderId="38" xfId="0" applyFont="1" applyBorder="1" applyAlignment="1">
      <alignment horizontal="left"/>
    </xf>
    <xf numFmtId="0" fontId="45" fillId="0" borderId="2" xfId="0" applyFont="1" applyBorder="1" applyAlignment="1">
      <alignment horizontal="left"/>
    </xf>
    <xf numFmtId="3" fontId="26" fillId="0" borderId="2" xfId="0" applyNumberFormat="1" applyFont="1" applyBorder="1" applyAlignment="1">
      <alignment horizontal="left"/>
    </xf>
    <xf numFmtId="3" fontId="26" fillId="0" borderId="1" xfId="0" applyNumberFormat="1" applyFont="1" applyBorder="1" applyAlignment="1">
      <alignment horizontal="left"/>
    </xf>
    <xf numFmtId="0" fontId="16" fillId="0" borderId="36" xfId="0" applyFont="1" applyBorder="1" applyAlignment="1">
      <alignment horizontal="left"/>
    </xf>
    <xf numFmtId="1" fontId="39" fillId="0" borderId="58" xfId="0" applyNumberFormat="1" applyFont="1" applyBorder="1" applyAlignment="1">
      <alignment horizontal="center" vertical="justify" wrapText="1"/>
    </xf>
    <xf numFmtId="0" fontId="21" fillId="0" borderId="10" xfId="0" applyFont="1" applyBorder="1" applyAlignment="1">
      <alignment horizontal="left"/>
    </xf>
    <xf numFmtId="1" fontId="39" fillId="0" borderId="62" xfId="0" applyNumberFormat="1" applyFont="1" applyBorder="1" applyAlignment="1">
      <alignment horizontal="center" vertical="justify" wrapText="1"/>
    </xf>
    <xf numFmtId="0" fontId="21" fillId="0" borderId="2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35" fillId="0" borderId="13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9" xfId="0" applyFont="1" applyBorder="1" applyAlignment="1">
      <alignment horizontal="left"/>
    </xf>
    <xf numFmtId="0" fontId="20" fillId="0" borderId="66" xfId="0" applyFont="1" applyBorder="1" applyAlignment="1">
      <alignment horizontal="left"/>
    </xf>
    <xf numFmtId="0" fontId="36" fillId="0" borderId="67" xfId="0" applyFont="1" applyBorder="1" applyAlignment="1">
      <alignment horizontal="left"/>
    </xf>
    <xf numFmtId="1" fontId="39" fillId="0" borderId="47" xfId="0" applyNumberFormat="1" applyFont="1" applyBorder="1" applyAlignment="1">
      <alignment horizontal="center" vertical="justify" wrapText="1"/>
    </xf>
    <xf numFmtId="0" fontId="21" fillId="0" borderId="36" xfId="0" applyFont="1" applyBorder="1" applyAlignment="1">
      <alignment horizontal="left"/>
    </xf>
    <xf numFmtId="0" fontId="21" fillId="0" borderId="38" xfId="0" applyFont="1" applyBorder="1" applyAlignment="1">
      <alignment horizontal="left"/>
    </xf>
    <xf numFmtId="0" fontId="23" fillId="0" borderId="10" xfId="0" applyFont="1" applyBorder="1" applyAlignment="1">
      <alignment vertical="center"/>
    </xf>
    <xf numFmtId="2" fontId="22" fillId="0" borderId="17" xfId="0" applyNumberFormat="1" applyFont="1" applyBorder="1" applyAlignment="1">
      <alignment vertical="center"/>
    </xf>
    <xf numFmtId="2" fontId="23" fillId="0" borderId="17" xfId="0" applyNumberFormat="1" applyFont="1" applyBorder="1" applyAlignment="1">
      <alignment vertical="center"/>
    </xf>
    <xf numFmtId="2" fontId="22" fillId="0" borderId="25" xfId="0" applyNumberFormat="1" applyFont="1" applyBorder="1" applyAlignment="1">
      <alignment vertical="center"/>
    </xf>
    <xf numFmtId="2" fontId="22" fillId="0" borderId="18" xfId="0" applyNumberFormat="1" applyFont="1" applyBorder="1" applyAlignment="1">
      <alignment horizontal="right"/>
    </xf>
    <xf numFmtId="0" fontId="16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2" fillId="0" borderId="47" xfId="0" applyFont="1" applyBorder="1" applyAlignment="1">
      <alignment horizontal="left"/>
    </xf>
    <xf numFmtId="1" fontId="17" fillId="0" borderId="6" xfId="0" applyNumberFormat="1" applyFont="1" applyBorder="1" applyAlignment="1">
      <alignment horizontal="left" wrapText="1"/>
    </xf>
    <xf numFmtId="1" fontId="17" fillId="0" borderId="25" xfId="0" applyNumberFormat="1" applyFont="1" applyBorder="1" applyAlignment="1">
      <alignment horizontal="left"/>
    </xf>
    <xf numFmtId="1" fontId="17" fillId="0" borderId="72" xfId="1" applyNumberFormat="1" applyFont="1" applyBorder="1" applyAlignment="1">
      <alignment horizontal="left"/>
    </xf>
    <xf numFmtId="1" fontId="17" fillId="0" borderId="19" xfId="1" applyNumberFormat="1" applyFont="1" applyBorder="1" applyAlignment="1">
      <alignment horizontal="left"/>
    </xf>
    <xf numFmtId="1" fontId="16" fillId="0" borderId="19" xfId="0" applyNumberFormat="1" applyFont="1" applyBorder="1" applyAlignment="1">
      <alignment horizontal="left"/>
    </xf>
    <xf numFmtId="1" fontId="17" fillId="0" borderId="19" xfId="0" applyNumberFormat="1" applyFont="1" applyBorder="1" applyAlignment="1">
      <alignment horizontal="left"/>
    </xf>
    <xf numFmtId="1" fontId="17" fillId="0" borderId="71" xfId="1" applyNumberFormat="1" applyFont="1" applyBorder="1" applyAlignment="1">
      <alignment horizontal="left"/>
    </xf>
    <xf numFmtId="2" fontId="36" fillId="0" borderId="61" xfId="0" applyNumberFormat="1" applyFont="1" applyBorder="1" applyAlignment="1">
      <alignment horizontal="left"/>
    </xf>
    <xf numFmtId="1" fontId="16" fillId="0" borderId="36" xfId="0" applyNumberFormat="1" applyFont="1" applyBorder="1" applyAlignment="1">
      <alignment horizontal="left"/>
    </xf>
    <xf numFmtId="2" fontId="36" fillId="0" borderId="13" xfId="0" applyNumberFormat="1" applyFont="1" applyBorder="1" applyAlignment="1">
      <alignment horizontal="left"/>
    </xf>
    <xf numFmtId="3" fontId="19" fillId="0" borderId="2" xfId="0" applyNumberFormat="1" applyFont="1" applyBorder="1" applyAlignment="1">
      <alignment horizontal="left"/>
    </xf>
    <xf numFmtId="172" fontId="19" fillId="0" borderId="2" xfId="0" applyNumberFormat="1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1" fontId="16" fillId="0" borderId="41" xfId="0" applyNumberFormat="1" applyFont="1" applyBorder="1" applyAlignment="1">
      <alignment horizontal="left"/>
    </xf>
    <xf numFmtId="0" fontId="4" fillId="0" borderId="27" xfId="0" applyFont="1" applyBorder="1" applyAlignment="1">
      <alignment horizontal="center" vertical="justify" wrapText="1"/>
    </xf>
    <xf numFmtId="0" fontId="4" fillId="0" borderId="28" xfId="0" applyFont="1" applyBorder="1" applyAlignment="1">
      <alignment horizontal="center" vertical="justify" wrapText="1"/>
    </xf>
    <xf numFmtId="1" fontId="5" fillId="0" borderId="0" xfId="0" applyNumberFormat="1" applyFont="1" applyAlignment="1">
      <alignment horizontal="left"/>
    </xf>
    <xf numFmtId="2" fontId="22" fillId="0" borderId="16" xfId="1" applyNumberFormat="1" applyFont="1" applyBorder="1" applyAlignment="1">
      <alignment horizontal="right"/>
    </xf>
    <xf numFmtId="1" fontId="20" fillId="0" borderId="34" xfId="0" applyNumberFormat="1" applyFont="1" applyFill="1" applyBorder="1" applyAlignment="1">
      <alignment horizontal="left" vertical="top" wrapText="1"/>
    </xf>
    <xf numFmtId="1" fontId="2" fillId="0" borderId="34" xfId="0" applyNumberFormat="1" applyFont="1" applyFill="1" applyBorder="1" applyAlignment="1">
      <alignment horizontal="left" vertical="top" wrapText="1"/>
    </xf>
    <xf numFmtId="1" fontId="5" fillId="0" borderId="34" xfId="0" applyNumberFormat="1" applyFont="1" applyFill="1" applyBorder="1" applyAlignment="1">
      <alignment horizontal="left" vertical="top" wrapText="1"/>
    </xf>
    <xf numFmtId="1" fontId="20" fillId="0" borderId="35" xfId="0" applyNumberFormat="1" applyFont="1" applyFill="1" applyBorder="1" applyAlignment="1">
      <alignment horizontal="left" vertical="top" wrapText="1"/>
    </xf>
    <xf numFmtId="2" fontId="17" fillId="0" borderId="6" xfId="0" applyNumberFormat="1" applyFont="1" applyBorder="1" applyAlignment="1">
      <alignment horizontal="left"/>
    </xf>
    <xf numFmtId="1" fontId="26" fillId="0" borderId="0" xfId="0" applyNumberFormat="1" applyFont="1" applyFill="1" applyAlignment="1">
      <alignment horizontal="left"/>
    </xf>
    <xf numFmtId="2" fontId="36" fillId="0" borderId="12" xfId="0" applyNumberFormat="1" applyFont="1" applyFill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2" fontId="16" fillId="0" borderId="4" xfId="0" applyNumberFormat="1" applyFont="1" applyFill="1" applyBorder="1" applyAlignment="1">
      <alignment horizontal="left"/>
    </xf>
    <xf numFmtId="172" fontId="25" fillId="0" borderId="36" xfId="0" applyNumberFormat="1" applyFont="1" applyBorder="1" applyAlignment="1">
      <alignment horizontal="left"/>
    </xf>
    <xf numFmtId="172" fontId="25" fillId="0" borderId="38" xfId="0" applyNumberFormat="1" applyFont="1" applyBorder="1" applyAlignment="1">
      <alignment horizontal="left"/>
    </xf>
    <xf numFmtId="172" fontId="25" fillId="0" borderId="2" xfId="0" applyNumberFormat="1" applyFont="1" applyBorder="1" applyAlignment="1">
      <alignment horizontal="left"/>
    </xf>
    <xf numFmtId="172" fontId="25" fillId="0" borderId="1" xfId="0" applyNumberFormat="1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1" fontId="16" fillId="0" borderId="14" xfId="0" applyNumberFormat="1" applyFont="1" applyBorder="1" applyAlignment="1">
      <alignment horizontal="left"/>
    </xf>
    <xf numFmtId="1" fontId="17" fillId="0" borderId="52" xfId="0" applyNumberFormat="1" applyFont="1" applyBorder="1" applyAlignment="1">
      <alignment horizontal="left"/>
    </xf>
    <xf numFmtId="1" fontId="16" fillId="0" borderId="24" xfId="0" applyNumberFormat="1" applyFont="1" applyBorder="1" applyAlignment="1">
      <alignment horizontal="left"/>
    </xf>
    <xf numFmtId="2" fontId="17" fillId="0" borderId="52" xfId="0" applyNumberFormat="1" applyFont="1" applyBorder="1" applyAlignment="1">
      <alignment horizontal="left"/>
    </xf>
    <xf numFmtId="172" fontId="19" fillId="0" borderId="7" xfId="0" applyNumberFormat="1" applyFont="1" applyBorder="1" applyAlignment="1">
      <alignment horizontal="left"/>
    </xf>
    <xf numFmtId="172" fontId="19" fillId="0" borderId="20" xfId="0" applyNumberFormat="1" applyFont="1" applyBorder="1" applyAlignment="1">
      <alignment horizontal="left"/>
    </xf>
    <xf numFmtId="0" fontId="21" fillId="0" borderId="42" xfId="0" applyFont="1" applyBorder="1" applyAlignment="1">
      <alignment horizontal="left"/>
    </xf>
    <xf numFmtId="0" fontId="4" fillId="0" borderId="18" xfId="0" applyFont="1" applyBorder="1" applyAlignment="1">
      <alignment horizontal="center" vertical="justify" wrapText="1"/>
    </xf>
    <xf numFmtId="0" fontId="10" fillId="0" borderId="18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21" fillId="0" borderId="12" xfId="0" applyFont="1" applyBorder="1" applyAlignment="1">
      <alignment horizontal="left"/>
    </xf>
    <xf numFmtId="1" fontId="26" fillId="0" borderId="17" xfId="0" applyNumberFormat="1" applyFont="1" applyBorder="1" applyAlignment="1">
      <alignment horizontal="left"/>
    </xf>
    <xf numFmtId="1" fontId="26" fillId="0" borderId="1" xfId="0" applyNumberFormat="1" applyFont="1" applyFill="1" applyBorder="1" applyAlignment="1">
      <alignment horizontal="left"/>
    </xf>
    <xf numFmtId="1" fontId="26" fillId="0" borderId="22" xfId="0" applyNumberFormat="1" applyFont="1" applyFill="1" applyBorder="1" applyAlignment="1">
      <alignment horizontal="left"/>
    </xf>
    <xf numFmtId="1" fontId="22" fillId="0" borderId="31" xfId="0" applyNumberFormat="1" applyFont="1" applyBorder="1" applyAlignment="1">
      <alignment horizontal="left" vertical="center"/>
    </xf>
    <xf numFmtId="1" fontId="23" fillId="0" borderId="38" xfId="0" applyNumberFormat="1" applyFont="1" applyBorder="1" applyAlignment="1">
      <alignment horizontal="left" vertical="center"/>
    </xf>
    <xf numFmtId="1" fontId="24" fillId="0" borderId="66" xfId="0" applyNumberFormat="1" applyFont="1" applyBorder="1" applyAlignment="1">
      <alignment horizontal="left"/>
    </xf>
    <xf numFmtId="1" fontId="21" fillId="0" borderId="67" xfId="0" applyNumberFormat="1" applyFont="1" applyBorder="1" applyAlignment="1">
      <alignment horizontal="left"/>
    </xf>
    <xf numFmtId="1" fontId="22" fillId="0" borderId="78" xfId="0" applyNumberFormat="1" applyFont="1" applyBorder="1" applyAlignment="1">
      <alignment horizontal="left"/>
    </xf>
    <xf numFmtId="1" fontId="22" fillId="0" borderId="36" xfId="0" applyNumberFormat="1" applyFont="1" applyBorder="1" applyAlignment="1">
      <alignment horizontal="left" vertical="center"/>
    </xf>
    <xf numFmtId="1" fontId="22" fillId="0" borderId="38" xfId="0" applyNumberFormat="1" applyFont="1" applyBorder="1" applyAlignment="1">
      <alignment horizontal="left"/>
    </xf>
    <xf numFmtId="1" fontId="22" fillId="0" borderId="78" xfId="1" applyNumberFormat="1" applyFont="1" applyBorder="1" applyAlignment="1">
      <alignment horizontal="left"/>
    </xf>
    <xf numFmtId="1" fontId="22" fillId="0" borderId="38" xfId="1" applyNumberFormat="1" applyFont="1" applyBorder="1" applyAlignment="1">
      <alignment horizontal="left"/>
    </xf>
    <xf numFmtId="1" fontId="22" fillId="0" borderId="78" xfId="0" applyNumberFormat="1" applyFont="1" applyFill="1" applyBorder="1" applyAlignment="1">
      <alignment horizontal="left"/>
    </xf>
    <xf numFmtId="1" fontId="22" fillId="0" borderId="38" xfId="0" applyNumberFormat="1" applyFont="1" applyFill="1" applyBorder="1" applyAlignment="1">
      <alignment horizontal="left"/>
    </xf>
    <xf numFmtId="1" fontId="23" fillId="0" borderId="4" xfId="0" applyNumberFormat="1" applyFont="1" applyBorder="1" applyAlignment="1">
      <alignment horizontal="left" vertical="center"/>
    </xf>
    <xf numFmtId="1" fontId="22" fillId="0" borderId="4" xfId="0" applyNumberFormat="1" applyFont="1" applyBorder="1" applyAlignment="1">
      <alignment horizontal="left" vertical="center"/>
    </xf>
    <xf numFmtId="1" fontId="22" fillId="0" borderId="23" xfId="0" applyNumberFormat="1" applyFont="1" applyBorder="1" applyAlignment="1">
      <alignment horizontal="left" vertical="center"/>
    </xf>
    <xf numFmtId="1" fontId="23" fillId="0" borderId="78" xfId="0" applyNumberFormat="1" applyFont="1" applyBorder="1" applyAlignment="1">
      <alignment horizontal="left" vertical="center"/>
    </xf>
    <xf numFmtId="1" fontId="26" fillId="0" borderId="16" xfId="1" applyNumberFormat="1" applyFont="1" applyBorder="1" applyAlignment="1">
      <alignment horizontal="left"/>
    </xf>
    <xf numFmtId="0" fontId="24" fillId="0" borderId="78" xfId="0" applyFont="1" applyBorder="1" applyAlignment="1">
      <alignment horizontal="left" vertical="center"/>
    </xf>
    <xf numFmtId="2" fontId="26" fillId="0" borderId="1" xfId="0" applyNumberFormat="1" applyFont="1" applyFill="1" applyBorder="1" applyAlignment="1">
      <alignment horizontal="left"/>
    </xf>
    <xf numFmtId="1" fontId="39" fillId="0" borderId="12" xfId="0" applyNumberFormat="1" applyFont="1" applyFill="1" applyBorder="1" applyAlignment="1">
      <alignment horizontal="left"/>
    </xf>
    <xf numFmtId="2" fontId="26" fillId="0" borderId="1" xfId="1" applyNumberFormat="1" applyFont="1" applyBorder="1" applyAlignment="1">
      <alignment horizontal="left"/>
    </xf>
    <xf numFmtId="1" fontId="26" fillId="0" borderId="17" xfId="1" applyNumberFormat="1" applyFont="1" applyBorder="1" applyAlignment="1">
      <alignment horizontal="left"/>
    </xf>
    <xf numFmtId="1" fontId="39" fillId="0" borderId="55" xfId="1" applyNumberFormat="1" applyFont="1" applyBorder="1" applyAlignment="1">
      <alignment horizontal="left"/>
    </xf>
    <xf numFmtId="1" fontId="47" fillId="0" borderId="35" xfId="0" applyNumberFormat="1" applyFont="1" applyFill="1" applyBorder="1" applyAlignment="1">
      <alignment horizontal="left" vertical="top" wrapText="1"/>
    </xf>
    <xf numFmtId="1" fontId="47" fillId="0" borderId="21" xfId="0" applyNumberFormat="1" applyFont="1" applyFill="1" applyBorder="1" applyAlignment="1">
      <alignment horizontal="left" vertical="center"/>
    </xf>
    <xf numFmtId="1" fontId="47" fillId="0" borderId="22" xfId="0" applyNumberFormat="1" applyFont="1" applyFill="1" applyBorder="1" applyAlignment="1">
      <alignment horizontal="left" vertical="center"/>
    </xf>
    <xf numFmtId="1" fontId="47" fillId="0" borderId="20" xfId="0" applyNumberFormat="1" applyFont="1" applyBorder="1" applyAlignment="1">
      <alignment horizontal="left" vertical="center"/>
    </xf>
    <xf numFmtId="1" fontId="47" fillId="0" borderId="20" xfId="0" applyNumberFormat="1" applyFont="1" applyFill="1" applyBorder="1" applyAlignment="1">
      <alignment horizontal="left" vertical="center"/>
    </xf>
    <xf numFmtId="1" fontId="47" fillId="0" borderId="0" xfId="0" applyNumberFormat="1" applyFont="1" applyFill="1" applyAlignment="1">
      <alignment horizontal="left"/>
    </xf>
    <xf numFmtId="1" fontId="48" fillId="0" borderId="34" xfId="0" applyNumberFormat="1" applyFont="1" applyFill="1" applyBorder="1" applyAlignment="1">
      <alignment horizontal="left" vertical="top" wrapText="1"/>
    </xf>
    <xf numFmtId="1" fontId="47" fillId="0" borderId="2" xfId="0" applyNumberFormat="1" applyFont="1" applyBorder="1" applyAlignment="1">
      <alignment horizontal="left" vertical="center"/>
    </xf>
    <xf numFmtId="1" fontId="47" fillId="0" borderId="3" xfId="0" applyNumberFormat="1" applyFont="1" applyBorder="1" applyAlignment="1">
      <alignment horizontal="left" vertical="center"/>
    </xf>
    <xf numFmtId="1" fontId="47" fillId="0" borderId="1" xfId="0" applyNumberFormat="1" applyFont="1" applyBorder="1" applyAlignment="1">
      <alignment horizontal="left" vertical="center"/>
    </xf>
    <xf numFmtId="1" fontId="47" fillId="0" borderId="16" xfId="0" applyNumberFormat="1" applyFont="1" applyBorder="1" applyAlignment="1">
      <alignment horizontal="left" vertical="center"/>
    </xf>
    <xf numFmtId="1" fontId="48" fillId="0" borderId="0" xfId="0" applyNumberFormat="1" applyFont="1" applyAlignment="1">
      <alignment horizontal="left"/>
    </xf>
    <xf numFmtId="1" fontId="48" fillId="0" borderId="2" xfId="0" applyNumberFormat="1" applyFont="1" applyBorder="1" applyAlignment="1">
      <alignment horizontal="left" vertical="center"/>
    </xf>
    <xf numFmtId="1" fontId="48" fillId="0" borderId="3" xfId="0" applyNumberFormat="1" applyFont="1" applyBorder="1" applyAlignment="1">
      <alignment horizontal="left" vertical="center"/>
    </xf>
    <xf numFmtId="1" fontId="48" fillId="0" borderId="1" xfId="0" applyNumberFormat="1" applyFont="1" applyBorder="1" applyAlignment="1">
      <alignment horizontal="left" vertical="center"/>
    </xf>
    <xf numFmtId="0" fontId="49" fillId="0" borderId="34" xfId="0" applyFont="1" applyBorder="1" applyAlignment="1">
      <alignment horizontal="left"/>
    </xf>
    <xf numFmtId="0" fontId="50" fillId="0" borderId="34" xfId="0" applyFont="1" applyBorder="1"/>
    <xf numFmtId="2" fontId="51" fillId="0" borderId="16" xfId="0" applyNumberFormat="1" applyFont="1" applyBorder="1" applyAlignment="1">
      <alignment vertical="center"/>
    </xf>
    <xf numFmtId="2" fontId="51" fillId="0" borderId="17" xfId="0" applyNumberFormat="1" applyFont="1" applyBorder="1" applyAlignment="1">
      <alignment vertical="center"/>
    </xf>
    <xf numFmtId="2" fontId="51" fillId="0" borderId="17" xfId="0" applyNumberFormat="1" applyFont="1" applyBorder="1" applyAlignment="1">
      <alignment horizontal="right"/>
    </xf>
    <xf numFmtId="2" fontId="51" fillId="0" borderId="16" xfId="0" applyNumberFormat="1" applyFont="1" applyBorder="1" applyAlignment="1">
      <alignment horizontal="right"/>
    </xf>
    <xf numFmtId="2" fontId="47" fillId="0" borderId="17" xfId="0" applyNumberFormat="1" applyFont="1" applyBorder="1" applyAlignment="1">
      <alignment horizontal="right"/>
    </xf>
    <xf numFmtId="2" fontId="47" fillId="0" borderId="17" xfId="0" applyNumberFormat="1" applyFont="1" applyBorder="1" applyAlignment="1">
      <alignment horizontal="left"/>
    </xf>
    <xf numFmtId="2" fontId="51" fillId="0" borderId="17" xfId="1" applyNumberFormat="1" applyFont="1" applyBorder="1" applyAlignment="1">
      <alignment horizontal="right"/>
    </xf>
    <xf numFmtId="2" fontId="51" fillId="0" borderId="17" xfId="0" applyNumberFormat="1" applyFont="1" applyBorder="1" applyAlignment="1">
      <alignment horizontal="right" wrapText="1"/>
    </xf>
    <xf numFmtId="3" fontId="49" fillId="0" borderId="17" xfId="0" applyNumberFormat="1" applyFont="1" applyBorder="1" applyAlignment="1">
      <alignment horizontal="right"/>
    </xf>
    <xf numFmtId="2" fontId="51" fillId="0" borderId="17" xfId="0" applyNumberFormat="1" applyFont="1" applyFill="1" applyBorder="1" applyAlignment="1">
      <alignment horizontal="right"/>
    </xf>
    <xf numFmtId="0" fontId="50" fillId="0" borderId="0" xfId="0" applyFont="1"/>
    <xf numFmtId="0" fontId="49" fillId="0" borderId="64" xfId="0" applyFont="1" applyBorder="1" applyAlignment="1">
      <alignment horizontal="left"/>
    </xf>
    <xf numFmtId="0" fontId="50" fillId="0" borderId="64" xfId="0" applyFont="1" applyBorder="1"/>
    <xf numFmtId="2" fontId="51" fillId="0" borderId="59" xfId="0" applyNumberFormat="1" applyFont="1" applyBorder="1" applyAlignment="1">
      <alignment vertical="center"/>
    </xf>
    <xf numFmtId="2" fontId="51" fillId="0" borderId="63" xfId="0" applyNumberFormat="1" applyFont="1" applyBorder="1" applyAlignment="1">
      <alignment vertical="center"/>
    </xf>
    <xf numFmtId="2" fontId="51" fillId="0" borderId="63" xfId="0" applyNumberFormat="1" applyFont="1" applyBorder="1" applyAlignment="1">
      <alignment horizontal="right"/>
    </xf>
    <xf numFmtId="2" fontId="51" fillId="0" borderId="59" xfId="0" applyNumberFormat="1" applyFont="1" applyBorder="1" applyAlignment="1">
      <alignment horizontal="right"/>
    </xf>
    <xf numFmtId="2" fontId="47" fillId="0" borderId="63" xfId="0" applyNumberFormat="1" applyFont="1" applyBorder="1" applyAlignment="1">
      <alignment horizontal="right"/>
    </xf>
    <xf numFmtId="2" fontId="49" fillId="0" borderId="63" xfId="0" applyNumberFormat="1" applyFont="1" applyBorder="1" applyAlignment="1">
      <alignment horizontal="left"/>
    </xf>
    <xf numFmtId="2" fontId="51" fillId="0" borderId="63" xfId="1" applyNumberFormat="1" applyFont="1" applyBorder="1" applyAlignment="1">
      <alignment horizontal="right"/>
    </xf>
    <xf numFmtId="2" fontId="51" fillId="0" borderId="63" xfId="0" applyNumberFormat="1" applyFont="1" applyBorder="1" applyAlignment="1">
      <alignment horizontal="right" wrapText="1"/>
    </xf>
    <xf numFmtId="3" fontId="49" fillId="0" borderId="63" xfId="0" applyNumberFormat="1" applyFont="1" applyBorder="1" applyAlignment="1">
      <alignment horizontal="right"/>
    </xf>
    <xf numFmtId="2" fontId="51" fillId="0" borderId="63" xfId="0" applyNumberFormat="1" applyFont="1" applyFill="1" applyBorder="1" applyAlignment="1">
      <alignment horizontal="right"/>
    </xf>
    <xf numFmtId="2" fontId="51" fillId="0" borderId="17" xfId="2" applyNumberFormat="1" applyFont="1" applyBorder="1" applyAlignment="1">
      <alignment horizontal="right"/>
    </xf>
    <xf numFmtId="2" fontId="47" fillId="0" borderId="16" xfId="1" applyNumberFormat="1" applyFont="1" applyBorder="1" applyAlignment="1">
      <alignment horizontal="right"/>
    </xf>
    <xf numFmtId="2" fontId="47" fillId="0" borderId="17" xfId="1" applyNumberFormat="1" applyFont="1" applyBorder="1" applyAlignment="1">
      <alignment horizontal="right"/>
    </xf>
    <xf numFmtId="0" fontId="36" fillId="0" borderId="59" xfId="0" applyFont="1" applyFill="1" applyBorder="1" applyAlignment="1">
      <alignment horizontal="left" vertical="justify" wrapText="1"/>
    </xf>
    <xf numFmtId="0" fontId="17" fillId="0" borderId="16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35" fillId="0" borderId="41" xfId="0" applyFont="1" applyBorder="1" applyAlignment="1">
      <alignment horizontal="left"/>
    </xf>
    <xf numFmtId="3" fontId="4" fillId="0" borderId="18" xfId="0" applyNumberFormat="1" applyFont="1" applyBorder="1" applyAlignment="1">
      <alignment horizontal="left"/>
    </xf>
    <xf numFmtId="1" fontId="2" fillId="0" borderId="8" xfId="0" applyNumberFormat="1" applyFont="1" applyBorder="1" applyAlignment="1">
      <alignment horizontal="left" vertical="center"/>
    </xf>
    <xf numFmtId="1" fontId="2" fillId="0" borderId="5" xfId="0" applyNumberFormat="1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center" vertical="justify" wrapText="1"/>
    </xf>
    <xf numFmtId="1" fontId="10" fillId="0" borderId="78" xfId="0" applyNumberFormat="1" applyFont="1" applyFill="1" applyBorder="1" applyAlignment="1">
      <alignment horizontal="right"/>
    </xf>
    <xf numFmtId="1" fontId="10" fillId="0" borderId="37" xfId="0" applyNumberFormat="1" applyFont="1" applyFill="1" applyBorder="1" applyAlignment="1">
      <alignment horizontal="right"/>
    </xf>
    <xf numFmtId="1" fontId="10" fillId="0" borderId="36" xfId="0" applyNumberFormat="1" applyFont="1" applyBorder="1" applyAlignment="1">
      <alignment horizontal="left"/>
    </xf>
    <xf numFmtId="1" fontId="10" fillId="0" borderId="37" xfId="0" applyNumberFormat="1" applyFont="1" applyBorder="1" applyAlignment="1">
      <alignment horizontal="left"/>
    </xf>
    <xf numFmtId="1" fontId="2" fillId="0" borderId="78" xfId="0" applyNumberFormat="1" applyFont="1" applyBorder="1" applyAlignment="1">
      <alignment horizontal="left" vertical="center"/>
    </xf>
    <xf numFmtId="1" fontId="2" fillId="0" borderId="37" xfId="0" applyNumberFormat="1" applyFont="1" applyBorder="1" applyAlignment="1">
      <alignment horizontal="left" vertical="center"/>
    </xf>
    <xf numFmtId="1" fontId="17" fillId="0" borderId="4" xfId="0" applyNumberFormat="1" applyFont="1" applyBorder="1" applyAlignment="1">
      <alignment horizontal="left" vertical="center"/>
    </xf>
    <xf numFmtId="1" fontId="17" fillId="0" borderId="36" xfId="0" applyNumberFormat="1" applyFont="1" applyBorder="1" applyAlignment="1">
      <alignment horizontal="left"/>
    </xf>
    <xf numFmtId="1" fontId="17" fillId="0" borderId="37" xfId="0" applyNumberFormat="1" applyFont="1" applyBorder="1" applyAlignment="1">
      <alignment horizontal="left"/>
    </xf>
    <xf numFmtId="1" fontId="2" fillId="0" borderId="39" xfId="0" applyNumberFormat="1" applyFont="1" applyBorder="1" applyAlignment="1">
      <alignment horizontal="left" vertical="center"/>
    </xf>
    <xf numFmtId="1" fontId="17" fillId="0" borderId="78" xfId="0" applyNumberFormat="1" applyFont="1" applyBorder="1" applyAlignment="1">
      <alignment horizontal="left"/>
    </xf>
    <xf numFmtId="1" fontId="2" fillId="0" borderId="50" xfId="0" applyNumberFormat="1" applyFont="1" applyBorder="1" applyAlignment="1">
      <alignment horizontal="left" vertical="center"/>
    </xf>
    <xf numFmtId="1" fontId="9" fillId="0" borderId="0" xfId="0" applyNumberFormat="1" applyFont="1" applyBorder="1" applyAlignment="1">
      <alignment horizontal="left"/>
    </xf>
    <xf numFmtId="1" fontId="4" fillId="0" borderId="0" xfId="0" applyNumberFormat="1" applyFont="1" applyBorder="1" applyAlignment="1">
      <alignment horizontal="left"/>
    </xf>
    <xf numFmtId="1" fontId="4" fillId="0" borderId="0" xfId="0" applyNumberFormat="1" applyFont="1" applyBorder="1" applyAlignment="1">
      <alignment horizontal="right"/>
    </xf>
    <xf numFmtId="1" fontId="20" fillId="0" borderId="4" xfId="0" applyNumberFormat="1" applyFont="1" applyBorder="1" applyAlignment="1">
      <alignment horizontal="left"/>
    </xf>
    <xf numFmtId="1" fontId="10" fillId="0" borderId="0" xfId="0" applyNumberFormat="1" applyFont="1" applyBorder="1" applyAlignment="1">
      <alignment horizontal="left"/>
    </xf>
    <xf numFmtId="1" fontId="2" fillId="0" borderId="32" xfId="0" applyNumberFormat="1" applyFont="1" applyBorder="1" applyAlignment="1">
      <alignment horizontal="left" vertical="center"/>
    </xf>
    <xf numFmtId="1" fontId="20" fillId="0" borderId="0" xfId="0" applyNumberFormat="1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1" fontId="20" fillId="0" borderId="36" xfId="0" applyNumberFormat="1" applyFont="1" applyBorder="1" applyAlignment="1">
      <alignment horizontal="left"/>
    </xf>
    <xf numFmtId="1" fontId="20" fillId="0" borderId="37" xfId="0" applyNumberFormat="1" applyFont="1" applyBorder="1" applyAlignment="1">
      <alignment horizontal="left"/>
    </xf>
    <xf numFmtId="0" fontId="8" fillId="0" borderId="0" xfId="0" applyFont="1"/>
    <xf numFmtId="0" fontId="8" fillId="0" borderId="38" xfId="0" applyFont="1" applyBorder="1"/>
    <xf numFmtId="0" fontId="8" fillId="0" borderId="78" xfId="0" applyFont="1" applyBorder="1"/>
    <xf numFmtId="1" fontId="16" fillId="0" borderId="16" xfId="0" applyNumberFormat="1" applyFont="1" applyBorder="1" applyAlignment="1">
      <alignment horizontal="left" vertical="center"/>
    </xf>
    <xf numFmtId="1" fontId="23" fillId="0" borderId="16" xfId="0" applyNumberFormat="1" applyFont="1" applyBorder="1" applyAlignment="1">
      <alignment horizontal="left" vertical="center"/>
    </xf>
    <xf numFmtId="1" fontId="16" fillId="0" borderId="73" xfId="0" applyNumberFormat="1" applyFont="1" applyBorder="1" applyAlignment="1">
      <alignment vertical="center"/>
    </xf>
    <xf numFmtId="1" fontId="16" fillId="0" borderId="50" xfId="0" applyNumberFormat="1" applyFont="1" applyBorder="1" applyAlignment="1">
      <alignment horizontal="left" vertical="center"/>
    </xf>
    <xf numFmtId="1" fontId="47" fillId="0" borderId="34" xfId="0" applyNumberFormat="1" applyFont="1" applyBorder="1" applyAlignment="1">
      <alignment horizontal="left" vertical="center"/>
    </xf>
    <xf numFmtId="1" fontId="16" fillId="0" borderId="35" xfId="0" applyNumberFormat="1" applyFont="1" applyBorder="1" applyAlignment="1">
      <alignment horizontal="left" vertical="center"/>
    </xf>
    <xf numFmtId="1" fontId="47" fillId="0" borderId="35" xfId="0" applyNumberFormat="1" applyFont="1" applyBorder="1" applyAlignment="1">
      <alignment horizontal="left" vertical="center"/>
    </xf>
    <xf numFmtId="2" fontId="16" fillId="0" borderId="79" xfId="0" applyNumberFormat="1" applyFont="1" applyBorder="1" applyAlignment="1">
      <alignment horizontal="left"/>
    </xf>
    <xf numFmtId="1" fontId="16" fillId="0" borderId="57" xfId="0" applyNumberFormat="1" applyFont="1" applyBorder="1" applyAlignment="1">
      <alignment horizontal="left"/>
    </xf>
    <xf numFmtId="1" fontId="17" fillId="0" borderId="14" xfId="0" applyNumberFormat="1" applyFont="1" applyBorder="1" applyAlignment="1">
      <alignment horizontal="left"/>
    </xf>
    <xf numFmtId="1" fontId="48" fillId="0" borderId="14" xfId="0" applyNumberFormat="1" applyFont="1" applyBorder="1" applyAlignment="1">
      <alignment horizontal="left" vertical="center"/>
    </xf>
    <xf numFmtId="1" fontId="47" fillId="0" borderId="14" xfId="0" applyNumberFormat="1" applyFont="1" applyBorder="1" applyAlignment="1">
      <alignment horizontal="left" vertical="center"/>
    </xf>
    <xf numFmtId="1" fontId="2" fillId="0" borderId="14" xfId="0" applyNumberFormat="1" applyFont="1" applyBorder="1" applyAlignment="1">
      <alignment horizontal="left"/>
    </xf>
    <xf numFmtId="1" fontId="2" fillId="0" borderId="24" xfId="0" applyNumberFormat="1" applyFont="1" applyBorder="1" applyAlignment="1">
      <alignment horizontal="left"/>
    </xf>
    <xf numFmtId="1" fontId="47" fillId="0" borderId="24" xfId="0" applyNumberFormat="1" applyFont="1" applyFill="1" applyBorder="1" applyAlignment="1">
      <alignment horizontal="left" vertical="center"/>
    </xf>
    <xf numFmtId="2" fontId="17" fillId="0" borderId="79" xfId="0" applyNumberFormat="1" applyFont="1" applyBorder="1" applyAlignment="1">
      <alignment horizontal="left"/>
    </xf>
    <xf numFmtId="1" fontId="17" fillId="0" borderId="14" xfId="1" applyNumberFormat="1" applyFont="1" applyBorder="1" applyAlignment="1">
      <alignment horizontal="left"/>
    </xf>
    <xf numFmtId="1" fontId="5" fillId="0" borderId="14" xfId="1" applyNumberFormat="1" applyFont="1" applyBorder="1" applyAlignment="1">
      <alignment horizontal="left"/>
    </xf>
    <xf numFmtId="1" fontId="5" fillId="0" borderId="24" xfId="1" applyNumberFormat="1" applyFont="1" applyBorder="1" applyAlignment="1">
      <alignment horizontal="left"/>
    </xf>
    <xf numFmtId="2" fontId="17" fillId="0" borderId="79" xfId="1" applyNumberFormat="1" applyFont="1" applyBorder="1" applyAlignment="1">
      <alignment horizontal="left"/>
    </xf>
    <xf numFmtId="2" fontId="17" fillId="0" borderId="14" xfId="1" applyNumberFormat="1" applyFont="1" applyBorder="1" applyAlignment="1">
      <alignment horizontal="left"/>
    </xf>
    <xf numFmtId="2" fontId="17" fillId="0" borderId="57" xfId="1" applyNumberFormat="1" applyFont="1" applyBorder="1" applyAlignment="1">
      <alignment horizontal="left"/>
    </xf>
    <xf numFmtId="1" fontId="5" fillId="0" borderId="14" xfId="0" applyNumberFormat="1" applyFont="1" applyFill="1" applyBorder="1" applyAlignment="1">
      <alignment horizontal="left"/>
    </xf>
    <xf numFmtId="2" fontId="17" fillId="0" borderId="79" xfId="0" applyNumberFormat="1" applyFont="1" applyFill="1" applyBorder="1" applyAlignment="1">
      <alignment horizontal="left"/>
    </xf>
    <xf numFmtId="1" fontId="17" fillId="0" borderId="57" xfId="0" applyNumberFormat="1" applyFont="1" applyFill="1" applyBorder="1" applyAlignment="1">
      <alignment horizontal="left"/>
    </xf>
    <xf numFmtId="1" fontId="47" fillId="0" borderId="31" xfId="0" applyNumberFormat="1" applyFont="1" applyFill="1" applyBorder="1" applyAlignment="1">
      <alignment horizontal="left" vertical="center"/>
    </xf>
    <xf numFmtId="2" fontId="17" fillId="0" borderId="36" xfId="1" applyNumberFormat="1" applyFont="1" applyBorder="1" applyAlignment="1">
      <alignment horizontal="left"/>
    </xf>
    <xf numFmtId="2" fontId="17" fillId="0" borderId="2" xfId="1" applyNumberFormat="1" applyFont="1" applyBorder="1" applyAlignment="1">
      <alignment horizontal="left"/>
    </xf>
    <xf numFmtId="2" fontId="17" fillId="0" borderId="13" xfId="1" applyNumberFormat="1" applyFont="1" applyBorder="1" applyAlignment="1">
      <alignment horizontal="left"/>
    </xf>
    <xf numFmtId="1" fontId="17" fillId="0" borderId="33" xfId="0" applyNumberFormat="1" applyFont="1" applyFill="1" applyBorder="1" applyAlignment="1">
      <alignment horizontal="left" vertical="center" shrinkToFit="1"/>
    </xf>
    <xf numFmtId="1" fontId="17" fillId="0" borderId="14" xfId="0" applyNumberFormat="1" applyFont="1" applyFill="1" applyBorder="1" applyAlignment="1">
      <alignment horizontal="left" wrapText="1"/>
    </xf>
    <xf numFmtId="1" fontId="17" fillId="0" borderId="14" xfId="0" applyNumberFormat="1" applyFont="1" applyFill="1" applyBorder="1" applyAlignment="1">
      <alignment horizontal="left" vertical="top" shrinkToFit="1"/>
    </xf>
    <xf numFmtId="1" fontId="17" fillId="0" borderId="14" xfId="0" applyNumberFormat="1" applyFont="1" applyFill="1" applyBorder="1" applyAlignment="1">
      <alignment horizontal="left" vertical="top" wrapText="1"/>
    </xf>
    <xf numFmtId="1" fontId="17" fillId="0" borderId="24" xfId="0" applyNumberFormat="1" applyFont="1" applyFill="1" applyBorder="1" applyAlignment="1">
      <alignment horizontal="left" vertical="top" wrapText="1"/>
    </xf>
    <xf numFmtId="2" fontId="17" fillId="0" borderId="79" xfId="0" applyNumberFormat="1" applyFont="1" applyFill="1" applyBorder="1" applyAlignment="1">
      <alignment horizontal="left" vertical="center" wrapText="1"/>
    </xf>
    <xf numFmtId="1" fontId="17" fillId="0" borderId="2" xfId="0" applyNumberFormat="1" applyFont="1" applyFill="1" applyBorder="1" applyAlignment="1">
      <alignment horizontal="left"/>
    </xf>
    <xf numFmtId="2" fontId="17" fillId="0" borderId="36" xfId="0" applyNumberFormat="1" applyFont="1" applyFill="1" applyBorder="1" applyAlignment="1">
      <alignment horizontal="left"/>
    </xf>
    <xf numFmtId="1" fontId="17" fillId="0" borderId="13" xfId="0" applyNumberFormat="1" applyFont="1" applyFill="1" applyBorder="1" applyAlignment="1">
      <alignment horizontal="left"/>
    </xf>
    <xf numFmtId="1" fontId="5" fillId="0" borderId="14" xfId="0" applyNumberFormat="1" applyFont="1" applyBorder="1" applyAlignment="1">
      <alignment horizontal="left"/>
    </xf>
    <xf numFmtId="1" fontId="5" fillId="0" borderId="24" xfId="0" applyNumberFormat="1" applyFont="1" applyBorder="1" applyAlignment="1">
      <alignment horizontal="left"/>
    </xf>
    <xf numFmtId="1" fontId="17" fillId="0" borderId="57" xfId="0" applyNumberFormat="1" applyFont="1" applyBorder="1" applyAlignment="1">
      <alignment horizontal="left"/>
    </xf>
    <xf numFmtId="1" fontId="17" fillId="0" borderId="2" xfId="0" applyNumberFormat="1" applyFont="1" applyBorder="1" applyAlignment="1">
      <alignment horizontal="left" wrapText="1"/>
    </xf>
    <xf numFmtId="1" fontId="17" fillId="0" borderId="20" xfId="0" applyNumberFormat="1" applyFont="1" applyBorder="1" applyAlignment="1">
      <alignment horizontal="left" wrapText="1"/>
    </xf>
    <xf numFmtId="1" fontId="17" fillId="0" borderId="13" xfId="0" applyNumberFormat="1" applyFont="1" applyBorder="1" applyAlignment="1">
      <alignment horizontal="left" wrapText="1"/>
    </xf>
    <xf numFmtId="1" fontId="47" fillId="0" borderId="71" xfId="0" applyNumberFormat="1" applyFont="1" applyFill="1" applyBorder="1" applyAlignment="1">
      <alignment horizontal="left" vertical="center"/>
    </xf>
    <xf numFmtId="1" fontId="47" fillId="0" borderId="19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/>
    </xf>
    <xf numFmtId="1" fontId="2" fillId="0" borderId="20" xfId="0" applyNumberFormat="1" applyFont="1" applyBorder="1" applyAlignment="1">
      <alignment horizontal="left"/>
    </xf>
    <xf numFmtId="1" fontId="17" fillId="0" borderId="14" xfId="2" applyNumberFormat="1" applyFont="1" applyBorder="1" applyAlignment="1">
      <alignment horizontal="left"/>
    </xf>
    <xf numFmtId="1" fontId="5" fillId="0" borderId="14" xfId="2" applyNumberFormat="1" applyFont="1" applyBorder="1" applyAlignment="1">
      <alignment horizontal="left"/>
    </xf>
    <xf numFmtId="1" fontId="5" fillId="0" borderId="24" xfId="2" applyNumberFormat="1" applyFont="1" applyBorder="1" applyAlignment="1">
      <alignment horizontal="left"/>
    </xf>
    <xf numFmtId="2" fontId="17" fillId="0" borderId="79" xfId="2" applyNumberFormat="1" applyFont="1" applyBorder="1" applyAlignment="1">
      <alignment horizontal="left"/>
    </xf>
    <xf numFmtId="1" fontId="17" fillId="0" borderId="57" xfId="2" applyNumberFormat="1" applyFont="1" applyBorder="1" applyAlignment="1">
      <alignment horizontal="left"/>
    </xf>
    <xf numFmtId="2" fontId="16" fillId="0" borderId="57" xfId="0" applyNumberFormat="1" applyFont="1" applyBorder="1" applyAlignment="1">
      <alignment horizontal="left"/>
    </xf>
    <xf numFmtId="1" fontId="17" fillId="0" borderId="20" xfId="2" applyNumberFormat="1" applyFont="1" applyBorder="1" applyAlignment="1">
      <alignment horizontal="left"/>
    </xf>
    <xf numFmtId="2" fontId="17" fillId="0" borderId="36" xfId="2" applyNumberFormat="1" applyFont="1" applyBorder="1" applyAlignment="1">
      <alignment horizontal="left"/>
    </xf>
    <xf numFmtId="1" fontId="17" fillId="0" borderId="13" xfId="2" applyNumberFormat="1" applyFont="1" applyBorder="1" applyAlignment="1">
      <alignment horizontal="left"/>
    </xf>
    <xf numFmtId="2" fontId="16" fillId="0" borderId="13" xfId="0" applyNumberFormat="1" applyFont="1" applyBorder="1" applyAlignment="1">
      <alignment horizontal="left"/>
    </xf>
    <xf numFmtId="2" fontId="17" fillId="0" borderId="73" xfId="0" applyNumberFormat="1" applyFont="1" applyBorder="1" applyAlignment="1">
      <alignment horizontal="left"/>
    </xf>
    <xf numFmtId="1" fontId="20" fillId="0" borderId="50" xfId="0" applyNumberFormat="1" applyFont="1" applyFill="1" applyBorder="1" applyAlignment="1">
      <alignment horizontal="left" vertical="center" wrapText="1"/>
    </xf>
    <xf numFmtId="1" fontId="48" fillId="0" borderId="34" xfId="0" applyNumberFormat="1" applyFont="1" applyBorder="1" applyAlignment="1">
      <alignment horizontal="left" vertical="center"/>
    </xf>
    <xf numFmtId="1" fontId="47" fillId="0" borderId="67" xfId="0" applyNumberFormat="1" applyFont="1" applyFill="1" applyBorder="1" applyAlignment="1">
      <alignment horizontal="left" vertical="center"/>
    </xf>
    <xf numFmtId="2" fontId="17" fillId="0" borderId="34" xfId="0" applyNumberFormat="1" applyFont="1" applyBorder="1" applyAlignment="1">
      <alignment horizontal="left" vertical="center"/>
    </xf>
    <xf numFmtId="1" fontId="16" fillId="0" borderId="67" xfId="0" applyNumberFormat="1" applyFont="1" applyBorder="1" applyAlignment="1">
      <alignment horizontal="left" vertical="center"/>
    </xf>
    <xf numFmtId="2" fontId="26" fillId="0" borderId="14" xfId="0" applyNumberFormat="1" applyFont="1" applyBorder="1" applyAlignment="1">
      <alignment horizontal="left" vertical="center"/>
    </xf>
    <xf numFmtId="1" fontId="26" fillId="0" borderId="14" xfId="0" applyNumberFormat="1" applyFont="1" applyBorder="1" applyAlignment="1">
      <alignment horizontal="left" vertical="center"/>
    </xf>
    <xf numFmtId="1" fontId="39" fillId="0" borderId="57" xfId="0" applyNumberFormat="1" applyFont="1" applyBorder="1" applyAlignment="1">
      <alignment horizontal="left" vertical="center"/>
    </xf>
    <xf numFmtId="0" fontId="24" fillId="0" borderId="79" xfId="0" applyFont="1" applyBorder="1" applyAlignment="1">
      <alignment horizontal="left" vertical="center"/>
    </xf>
    <xf numFmtId="2" fontId="26" fillId="0" borderId="14" xfId="2" applyNumberFormat="1" applyFont="1" applyBorder="1" applyAlignment="1">
      <alignment horizontal="left"/>
    </xf>
    <xf numFmtId="1" fontId="26" fillId="0" borderId="14" xfId="2" applyNumberFormat="1" applyFont="1" applyBorder="1" applyAlignment="1">
      <alignment horizontal="left"/>
    </xf>
    <xf numFmtId="1" fontId="26" fillId="0" borderId="34" xfId="0" applyNumberFormat="1" applyFont="1" applyBorder="1" applyAlignment="1">
      <alignment horizontal="left"/>
    </xf>
    <xf numFmtId="1" fontId="39" fillId="0" borderId="57" xfId="0" applyNumberFormat="1" applyFont="1" applyBorder="1" applyAlignment="1">
      <alignment horizontal="left"/>
    </xf>
    <xf numFmtId="1" fontId="26" fillId="0" borderId="19" xfId="0" applyNumberFormat="1" applyFont="1" applyBorder="1" applyAlignment="1">
      <alignment horizontal="left"/>
    </xf>
    <xf numFmtId="0" fontId="45" fillId="0" borderId="1" xfId="0" applyFont="1" applyBorder="1" applyAlignment="1">
      <alignment horizontal="left"/>
    </xf>
    <xf numFmtId="3" fontId="39" fillId="0" borderId="13" xfId="0" applyNumberFormat="1" applyFont="1" applyBorder="1" applyAlignment="1">
      <alignment horizontal="left"/>
    </xf>
    <xf numFmtId="2" fontId="26" fillId="0" borderId="2" xfId="0" applyNumberFormat="1" applyFont="1" applyFill="1" applyBorder="1" applyAlignment="1">
      <alignment horizontal="left"/>
    </xf>
    <xf numFmtId="1" fontId="39" fillId="0" borderId="13" xfId="0" applyNumberFormat="1" applyFont="1" applyFill="1" applyBorder="1" applyAlignment="1">
      <alignment horizontal="left"/>
    </xf>
    <xf numFmtId="2" fontId="24" fillId="0" borderId="1" xfId="0" applyNumberFormat="1" applyFont="1" applyBorder="1" applyAlignment="1">
      <alignment horizontal="left"/>
    </xf>
    <xf numFmtId="2" fontId="26" fillId="0" borderId="2" xfId="1" applyNumberFormat="1" applyFont="1" applyBorder="1" applyAlignment="1">
      <alignment horizontal="left"/>
    </xf>
    <xf numFmtId="1" fontId="26" fillId="0" borderId="0" xfId="0" applyNumberFormat="1" applyFont="1" applyAlignment="1">
      <alignment horizontal="center" vertical="center" wrapText="1"/>
    </xf>
    <xf numFmtId="1" fontId="23" fillId="0" borderId="33" xfId="0" applyNumberFormat="1" applyFont="1" applyBorder="1" applyAlignment="1">
      <alignment horizontal="left" vertical="center"/>
    </xf>
    <xf numFmtId="1" fontId="22" fillId="0" borderId="14" xfId="0" applyNumberFormat="1" applyFont="1" applyBorder="1" applyAlignment="1">
      <alignment horizontal="left" vertical="center"/>
    </xf>
    <xf numFmtId="1" fontId="22" fillId="0" borderId="24" xfId="0" applyNumberFormat="1" applyFont="1" applyBorder="1" applyAlignment="1">
      <alignment horizontal="left" vertical="center"/>
    </xf>
    <xf numFmtId="1" fontId="22" fillId="0" borderId="79" xfId="0" applyNumberFormat="1" applyFont="1" applyBorder="1" applyAlignment="1">
      <alignment horizontal="left" vertical="center"/>
    </xf>
    <xf numFmtId="1" fontId="22" fillId="0" borderId="20" xfId="0" applyNumberFormat="1" applyFont="1" applyBorder="1" applyAlignment="1">
      <alignment horizontal="left"/>
    </xf>
    <xf numFmtId="1" fontId="22" fillId="0" borderId="36" xfId="0" applyNumberFormat="1" applyFont="1" applyBorder="1" applyAlignment="1">
      <alignment horizontal="left"/>
    </xf>
    <xf numFmtId="1" fontId="21" fillId="0" borderId="18" xfId="0" applyNumberFormat="1" applyFont="1" applyBorder="1" applyAlignment="1">
      <alignment horizontal="left"/>
    </xf>
    <xf numFmtId="1" fontId="22" fillId="0" borderId="24" xfId="0" applyNumberFormat="1" applyFont="1" applyBorder="1" applyAlignment="1">
      <alignment horizontal="left"/>
    </xf>
    <xf numFmtId="1" fontId="22" fillId="0" borderId="79" xfId="0" applyNumberFormat="1" applyFont="1" applyBorder="1" applyAlignment="1">
      <alignment horizontal="left"/>
    </xf>
    <xf numFmtId="1" fontId="22" fillId="0" borderId="20" xfId="2" applyNumberFormat="1" applyFont="1" applyBorder="1" applyAlignment="1">
      <alignment horizontal="left"/>
    </xf>
    <xf numFmtId="1" fontId="22" fillId="0" borderId="22" xfId="2" applyNumberFormat="1" applyFont="1" applyBorder="1" applyAlignment="1">
      <alignment horizontal="left"/>
    </xf>
    <xf numFmtId="1" fontId="22" fillId="0" borderId="36" xfId="1" applyNumberFormat="1" applyFont="1" applyBorder="1" applyAlignment="1">
      <alignment horizontal="left"/>
    </xf>
    <xf numFmtId="1" fontId="6" fillId="0" borderId="22" xfId="0" applyNumberFormat="1" applyFont="1" applyBorder="1" applyAlignment="1">
      <alignment horizontal="left"/>
    </xf>
    <xf numFmtId="1" fontId="22" fillId="0" borderId="22" xfId="0" applyNumberFormat="1" applyFont="1" applyFill="1" applyBorder="1" applyAlignment="1">
      <alignment horizontal="left"/>
    </xf>
    <xf numFmtId="1" fontId="22" fillId="0" borderId="20" xfId="0" applyNumberFormat="1" applyFont="1" applyBorder="1" applyAlignment="1">
      <alignment horizontal="left" wrapText="1"/>
    </xf>
    <xf numFmtId="1" fontId="22" fillId="0" borderId="36" xfId="0" applyNumberFormat="1" applyFont="1" applyBorder="1" applyAlignment="1">
      <alignment horizontal="left" wrapText="1"/>
    </xf>
    <xf numFmtId="1" fontId="43" fillId="0" borderId="1" xfId="0" applyNumberFormat="1" applyFont="1" applyBorder="1" applyAlignment="1">
      <alignment horizontal="left"/>
    </xf>
    <xf numFmtId="1" fontId="22" fillId="0" borderId="18" xfId="0" applyNumberFormat="1" applyFont="1" applyBorder="1" applyAlignment="1">
      <alignment horizontal="left"/>
    </xf>
    <xf numFmtId="1" fontId="43" fillId="0" borderId="22" xfId="0" applyNumberFormat="1" applyFont="1" applyBorder="1" applyAlignment="1">
      <alignment horizontal="left"/>
    </xf>
    <xf numFmtId="1" fontId="23" fillId="0" borderId="36" xfId="0" applyNumberFormat="1" applyFont="1" applyBorder="1" applyAlignment="1">
      <alignment horizontal="left" vertical="center"/>
    </xf>
    <xf numFmtId="1" fontId="22" fillId="0" borderId="23" xfId="1" applyNumberFormat="1" applyFont="1" applyBorder="1" applyAlignment="1">
      <alignment horizontal="left"/>
    </xf>
    <xf numFmtId="1" fontId="22" fillId="0" borderId="22" xfId="1" applyNumberFormat="1" applyFont="1" applyBorder="1" applyAlignment="1">
      <alignment horizontal="left"/>
    </xf>
    <xf numFmtId="0" fontId="16" fillId="0" borderId="73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2" fontId="24" fillId="0" borderId="14" xfId="0" applyNumberFormat="1" applyFont="1" applyBorder="1" applyAlignment="1">
      <alignment horizontal="left" vertical="center"/>
    </xf>
    <xf numFmtId="2" fontId="26" fillId="0" borderId="24" xfId="0" applyNumberFormat="1" applyFont="1" applyBorder="1" applyAlignment="1">
      <alignment horizontal="left" vertical="center"/>
    </xf>
    <xf numFmtId="2" fontId="39" fillId="0" borderId="44" xfId="0" applyNumberFormat="1" applyFont="1" applyBorder="1" applyAlignment="1">
      <alignment horizontal="left" vertical="center"/>
    </xf>
    <xf numFmtId="0" fontId="26" fillId="0" borderId="74" xfId="0" applyFont="1" applyBorder="1" applyAlignment="1">
      <alignment horizontal="left"/>
    </xf>
    <xf numFmtId="2" fontId="26" fillId="0" borderId="75" xfId="0" applyNumberFormat="1" applyFont="1" applyBorder="1" applyAlignment="1">
      <alignment horizontal="left"/>
    </xf>
    <xf numFmtId="2" fontId="40" fillId="0" borderId="80" xfId="0" applyNumberFormat="1" applyFont="1" applyBorder="1" applyAlignment="1">
      <alignment horizontal="left"/>
    </xf>
    <xf numFmtId="1" fontId="39" fillId="0" borderId="42" xfId="0" applyNumberFormat="1" applyFont="1" applyBorder="1" applyAlignment="1">
      <alignment horizontal="left" vertical="center"/>
    </xf>
    <xf numFmtId="0" fontId="24" fillId="0" borderId="75" xfId="0" applyFont="1" applyBorder="1" applyAlignment="1">
      <alignment horizontal="left" vertical="center"/>
    </xf>
    <xf numFmtId="1" fontId="19" fillId="0" borderId="79" xfId="0" applyNumberFormat="1" applyFont="1" applyBorder="1" applyAlignment="1">
      <alignment horizontal="left"/>
    </xf>
    <xf numFmtId="1" fontId="26" fillId="0" borderId="57" xfId="0" applyNumberFormat="1" applyFont="1" applyBorder="1" applyAlignment="1">
      <alignment horizontal="left"/>
    </xf>
    <xf numFmtId="1" fontId="26" fillId="0" borderId="14" xfId="1" applyNumberFormat="1" applyFont="1" applyBorder="1" applyAlignment="1">
      <alignment horizontal="left"/>
    </xf>
    <xf numFmtId="1" fontId="26" fillId="0" borderId="24" xfId="1" applyNumberFormat="1" applyFont="1" applyBorder="1" applyAlignment="1">
      <alignment horizontal="left"/>
    </xf>
    <xf numFmtId="1" fontId="39" fillId="0" borderId="44" xfId="0" applyNumberFormat="1" applyFont="1" applyBorder="1" applyAlignment="1">
      <alignment horizontal="left"/>
    </xf>
    <xf numFmtId="1" fontId="26" fillId="0" borderId="44" xfId="0" applyNumberFormat="1" applyFont="1" applyBorder="1" applyAlignment="1">
      <alignment horizontal="left"/>
    </xf>
    <xf numFmtId="1" fontId="40" fillId="0" borderId="74" xfId="0" applyNumberFormat="1" applyFont="1" applyBorder="1" applyAlignment="1">
      <alignment horizontal="left"/>
    </xf>
    <xf numFmtId="0" fontId="36" fillId="0" borderId="59" xfId="0" applyFont="1" applyBorder="1" applyAlignment="1">
      <alignment horizontal="left"/>
    </xf>
    <xf numFmtId="0" fontId="2" fillId="0" borderId="0" xfId="0" applyFont="1" applyAlignment="1">
      <alignment horizontal="justify" vertical="justify" wrapText="1"/>
    </xf>
    <xf numFmtId="2" fontId="16" fillId="0" borderId="14" xfId="0" applyNumberFormat="1" applyFont="1" applyBorder="1" applyAlignment="1">
      <alignment horizontal="left" vertical="center"/>
    </xf>
    <xf numFmtId="2" fontId="18" fillId="0" borderId="14" xfId="0" applyNumberFormat="1" applyFont="1" applyBorder="1" applyAlignment="1">
      <alignment horizontal="left" vertical="center"/>
    </xf>
    <xf numFmtId="172" fontId="25" fillId="0" borderId="20" xfId="0" applyNumberFormat="1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172" fontId="25" fillId="0" borderId="22" xfId="0" applyNumberFormat="1" applyFont="1" applyBorder="1" applyAlignment="1">
      <alignment horizontal="left"/>
    </xf>
    <xf numFmtId="0" fontId="16" fillId="0" borderId="79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2" fontId="16" fillId="0" borderId="10" xfId="0" applyNumberFormat="1" applyFont="1" applyBorder="1" applyAlignment="1">
      <alignment horizontal="left" vertical="center"/>
    </xf>
    <xf numFmtId="2" fontId="16" fillId="0" borderId="29" xfId="0" applyNumberFormat="1" applyFont="1" applyBorder="1" applyAlignment="1">
      <alignment horizontal="left" vertical="center"/>
    </xf>
    <xf numFmtId="2" fontId="16" fillId="0" borderId="28" xfId="0" applyNumberFormat="1" applyFont="1" applyBorder="1" applyAlignment="1">
      <alignment horizontal="left" vertical="center"/>
    </xf>
    <xf numFmtId="1" fontId="16" fillId="0" borderId="14" xfId="1" applyNumberFormat="1" applyFont="1" applyBorder="1" applyAlignment="1">
      <alignment horizontal="left"/>
    </xf>
    <xf numFmtId="1" fontId="29" fillId="0" borderId="61" xfId="1" applyNumberFormat="1" applyFont="1" applyBorder="1" applyAlignment="1">
      <alignment horizontal="left"/>
    </xf>
    <xf numFmtId="1" fontId="17" fillId="0" borderId="75" xfId="1" applyNumberFormat="1" applyFont="1" applyBorder="1" applyAlignment="1">
      <alignment horizontal="left"/>
    </xf>
    <xf numFmtId="0" fontId="26" fillId="0" borderId="0" xfId="0" applyFont="1" applyAlignment="1">
      <alignment horizontal="justify" vertical="justify" wrapText="1"/>
    </xf>
    <xf numFmtId="1" fontId="16" fillId="0" borderId="14" xfId="0" applyNumberFormat="1" applyFont="1" applyBorder="1" applyAlignment="1">
      <alignment horizontal="left" vertical="center"/>
    </xf>
    <xf numFmtId="1" fontId="16" fillId="0" borderId="24" xfId="0" applyNumberFormat="1" applyFont="1" applyBorder="1" applyAlignment="1">
      <alignment horizontal="left" vertical="center"/>
    </xf>
    <xf numFmtId="1" fontId="16" fillId="0" borderId="75" xfId="0" applyNumberFormat="1" applyFont="1" applyBorder="1" applyAlignment="1">
      <alignment horizontal="left" vertical="center"/>
    </xf>
    <xf numFmtId="1" fontId="16" fillId="0" borderId="36" xfId="0" applyNumberFormat="1" applyFont="1" applyBorder="1" applyAlignment="1">
      <alignment horizontal="left" vertical="center"/>
    </xf>
    <xf numFmtId="1" fontId="16" fillId="0" borderId="38" xfId="0" applyNumberFormat="1" applyFont="1" applyFill="1" applyBorder="1" applyAlignment="1">
      <alignment horizontal="left" vertical="center"/>
    </xf>
    <xf numFmtId="1" fontId="28" fillId="0" borderId="2" xfId="0" applyNumberFormat="1" applyFont="1" applyBorder="1" applyAlignment="1">
      <alignment horizontal="left" vertical="center"/>
    </xf>
    <xf numFmtId="1" fontId="28" fillId="0" borderId="1" xfId="0" applyNumberFormat="1" applyFont="1" applyBorder="1" applyAlignment="1">
      <alignment horizontal="left" vertical="center"/>
    </xf>
    <xf numFmtId="1" fontId="28" fillId="0" borderId="13" xfId="0" applyNumberFormat="1" applyFont="1" applyBorder="1" applyAlignment="1">
      <alignment horizontal="left" vertical="center"/>
    </xf>
    <xf numFmtId="1" fontId="28" fillId="0" borderId="12" xfId="0" applyNumberFormat="1" applyFont="1" applyBorder="1" applyAlignment="1">
      <alignment horizontal="left" vertical="center"/>
    </xf>
    <xf numFmtId="1" fontId="16" fillId="0" borderId="2" xfId="2" applyNumberFormat="1" applyFont="1" applyBorder="1" applyAlignment="1">
      <alignment horizontal="left"/>
    </xf>
    <xf numFmtId="1" fontId="16" fillId="0" borderId="1" xfId="2" applyNumberFormat="1" applyFont="1" applyBorder="1" applyAlignment="1">
      <alignment horizontal="left"/>
    </xf>
    <xf numFmtId="1" fontId="16" fillId="0" borderId="20" xfId="2" applyNumberFormat="1" applyFont="1" applyBorder="1" applyAlignment="1">
      <alignment horizontal="left"/>
    </xf>
    <xf numFmtId="1" fontId="16" fillId="0" borderId="22" xfId="2" applyNumberFormat="1" applyFont="1" applyBorder="1" applyAlignment="1">
      <alignment horizontal="left"/>
    </xf>
    <xf numFmtId="1" fontId="16" fillId="0" borderId="33" xfId="0" applyNumberFormat="1" applyFont="1" applyBorder="1" applyAlignment="1">
      <alignment horizontal="left"/>
    </xf>
    <xf numFmtId="0" fontId="17" fillId="0" borderId="75" xfId="0" applyFont="1" applyBorder="1" applyAlignment="1">
      <alignment horizontal="left"/>
    </xf>
    <xf numFmtId="2" fontId="23" fillId="0" borderId="14" xfId="0" applyNumberFormat="1" applyFont="1" applyBorder="1" applyAlignment="1">
      <alignment horizontal="left"/>
    </xf>
    <xf numFmtId="2" fontId="23" fillId="0" borderId="1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2" fontId="17" fillId="0" borderId="33" xfId="2" applyNumberFormat="1" applyFont="1" applyBorder="1" applyAlignment="1">
      <alignment horizontal="left"/>
    </xf>
    <xf numFmtId="2" fontId="17" fillId="0" borderId="14" xfId="2" applyNumberFormat="1" applyFont="1" applyBorder="1" applyAlignment="1">
      <alignment horizontal="left"/>
    </xf>
    <xf numFmtId="2" fontId="3" fillId="0" borderId="14" xfId="0" applyNumberFormat="1" applyFont="1" applyBorder="1" applyAlignment="1">
      <alignment horizontal="left"/>
    </xf>
    <xf numFmtId="1" fontId="17" fillId="0" borderId="33" xfId="1" applyNumberFormat="1" applyFont="1" applyBorder="1" applyAlignment="1">
      <alignment horizontal="left"/>
    </xf>
    <xf numFmtId="1" fontId="17" fillId="0" borderId="24" xfId="1" applyNumberFormat="1" applyFont="1" applyBorder="1" applyAlignment="1">
      <alignment horizontal="left"/>
    </xf>
    <xf numFmtId="1" fontId="5" fillId="0" borderId="75" xfId="1" applyNumberFormat="1" applyFont="1" applyBorder="1" applyAlignment="1">
      <alignment horizontal="left"/>
    </xf>
    <xf numFmtId="1" fontId="28" fillId="0" borderId="61" xfId="0" applyNumberFormat="1" applyFont="1" applyBorder="1" applyAlignment="1">
      <alignment horizontal="left"/>
    </xf>
    <xf numFmtId="1" fontId="16" fillId="0" borderId="52" xfId="0" applyNumberFormat="1" applyFont="1" applyBorder="1" applyAlignment="1">
      <alignment horizontal="left"/>
    </xf>
    <xf numFmtId="2" fontId="5" fillId="0" borderId="75" xfId="0" applyNumberFormat="1" applyFont="1" applyBorder="1" applyAlignment="1">
      <alignment horizontal="left"/>
    </xf>
    <xf numFmtId="3" fontId="20" fillId="0" borderId="36" xfId="0" applyNumberFormat="1" applyFont="1" applyBorder="1" applyAlignment="1">
      <alignment horizontal="left"/>
    </xf>
    <xf numFmtId="3" fontId="20" fillId="0" borderId="38" xfId="0" applyNumberFormat="1" applyFont="1" applyBorder="1" applyAlignment="1">
      <alignment horizontal="left"/>
    </xf>
    <xf numFmtId="3" fontId="20" fillId="0" borderId="2" xfId="0" applyNumberFormat="1" applyFont="1" applyBorder="1" applyAlignment="1">
      <alignment horizontal="left"/>
    </xf>
    <xf numFmtId="172" fontId="20" fillId="0" borderId="2" xfId="0" applyNumberFormat="1" applyFont="1" applyBorder="1" applyAlignment="1">
      <alignment horizontal="left"/>
    </xf>
    <xf numFmtId="172" fontId="20" fillId="0" borderId="1" xfId="0" applyNumberFormat="1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3" fontId="20" fillId="0" borderId="20" xfId="0" applyNumberFormat="1" applyFont="1" applyBorder="1" applyAlignment="1">
      <alignment horizontal="left"/>
    </xf>
    <xf numFmtId="3" fontId="20" fillId="0" borderId="22" xfId="0" applyNumberFormat="1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1" fontId="17" fillId="0" borderId="33" xfId="0" applyNumberFormat="1" applyFont="1" applyFill="1" applyBorder="1" applyAlignment="1">
      <alignment horizontal="left"/>
    </xf>
    <xf numFmtId="1" fontId="17" fillId="0" borderId="24" xfId="0" applyNumberFormat="1" applyFont="1" applyFill="1" applyBorder="1" applyAlignment="1">
      <alignment horizontal="left"/>
    </xf>
    <xf numFmtId="1" fontId="5" fillId="0" borderId="75" xfId="0" applyNumberFormat="1" applyFont="1" applyFill="1" applyBorder="1" applyAlignment="1">
      <alignment horizontal="left"/>
    </xf>
    <xf numFmtId="1" fontId="17" fillId="0" borderId="9" xfId="1" applyNumberFormat="1" applyFont="1" applyBorder="1" applyAlignment="1">
      <alignment horizontal="left"/>
    </xf>
    <xf numFmtId="1" fontId="17" fillId="0" borderId="1" xfId="1" applyNumberFormat="1" applyFont="1" applyBorder="1" applyAlignment="1">
      <alignment horizontal="left"/>
    </xf>
    <xf numFmtId="1" fontId="17" fillId="0" borderId="22" xfId="1" applyNumberFormat="1" applyFont="1" applyBorder="1" applyAlignment="1">
      <alignment horizontal="left"/>
    </xf>
    <xf numFmtId="1" fontId="17" fillId="0" borderId="33" xfId="0" applyNumberFormat="1" applyFont="1" applyBorder="1" applyAlignment="1">
      <alignment horizontal="left"/>
    </xf>
    <xf numFmtId="1" fontId="17" fillId="0" borderId="24" xfId="0" applyNumberFormat="1" applyFont="1" applyBorder="1" applyAlignment="1">
      <alignment horizontal="left"/>
    </xf>
    <xf numFmtId="1" fontId="5" fillId="0" borderId="75" xfId="0" applyNumberFormat="1" applyFont="1" applyBorder="1" applyAlignment="1">
      <alignment horizontal="left"/>
    </xf>
    <xf numFmtId="1" fontId="17" fillId="0" borderId="33" xfId="2" applyNumberFormat="1" applyFont="1" applyBorder="1" applyAlignment="1">
      <alignment horizontal="left"/>
    </xf>
    <xf numFmtId="1" fontId="2" fillId="0" borderId="75" xfId="0" applyNumberFormat="1" applyFont="1" applyBorder="1" applyAlignment="1">
      <alignment horizontal="left"/>
    </xf>
    <xf numFmtId="1" fontId="24" fillId="0" borderId="19" xfId="0" applyNumberFormat="1" applyFont="1" applyBorder="1" applyAlignment="1">
      <alignment horizontal="left" vertical="center"/>
    </xf>
    <xf numFmtId="1" fontId="24" fillId="0" borderId="17" xfId="0" applyNumberFormat="1" applyFont="1" applyBorder="1" applyAlignment="1">
      <alignment horizontal="left" vertical="center"/>
    </xf>
    <xf numFmtId="1" fontId="27" fillId="0" borderId="4" xfId="0" applyNumberFormat="1" applyFont="1" applyBorder="1" applyAlignment="1">
      <alignment horizontal="left"/>
    </xf>
    <xf numFmtId="2" fontId="22" fillId="0" borderId="17" xfId="0" applyNumberFormat="1" applyFont="1" applyBorder="1" applyAlignment="1">
      <alignment horizontal="left"/>
    </xf>
    <xf numFmtId="2" fontId="23" fillId="0" borderId="17" xfId="0" applyNumberFormat="1" applyFont="1" applyBorder="1" applyAlignment="1">
      <alignment horizontal="left"/>
    </xf>
    <xf numFmtId="2" fontId="51" fillId="0" borderId="17" xfId="0" applyNumberFormat="1" applyFont="1" applyBorder="1" applyAlignment="1">
      <alignment horizontal="left"/>
    </xf>
    <xf numFmtId="2" fontId="51" fillId="0" borderId="16" xfId="0" applyNumberFormat="1" applyFont="1" applyBorder="1" applyAlignment="1">
      <alignment horizontal="left" vertical="center"/>
    </xf>
    <xf numFmtId="2" fontId="22" fillId="0" borderId="25" xfId="0" applyNumberFormat="1" applyFont="1" applyBorder="1" applyAlignment="1">
      <alignment horizontal="left"/>
    </xf>
    <xf numFmtId="2" fontId="51" fillId="0" borderId="63" xfId="0" applyNumberFormat="1" applyFont="1" applyBorder="1" applyAlignment="1">
      <alignment horizontal="left"/>
    </xf>
    <xf numFmtId="2" fontId="2" fillId="0" borderId="13" xfId="0" applyNumberFormat="1" applyFont="1" applyBorder="1" applyAlignment="1">
      <alignment horizontal="left"/>
    </xf>
    <xf numFmtId="2" fontId="2" fillId="0" borderId="12" xfId="0" applyNumberFormat="1" applyFont="1" applyBorder="1" applyAlignment="1">
      <alignment horizontal="left"/>
    </xf>
    <xf numFmtId="2" fontId="16" fillId="0" borderId="2" xfId="0" applyNumberFormat="1" applyFont="1" applyFill="1" applyBorder="1" applyAlignment="1">
      <alignment horizontal="left" vertical="top" shrinkToFit="1"/>
    </xf>
    <xf numFmtId="2" fontId="16" fillId="0" borderId="14" xfId="0" applyNumberFormat="1" applyFont="1" applyFill="1" applyBorder="1" applyAlignment="1">
      <alignment horizontal="left" vertical="top" shrinkToFit="1"/>
    </xf>
    <xf numFmtId="2" fontId="16" fillId="0" borderId="13" xfId="0" applyNumberFormat="1" applyFont="1" applyFill="1" applyBorder="1" applyAlignment="1">
      <alignment horizontal="left" vertical="top" shrinkToFit="1"/>
    </xf>
    <xf numFmtId="2" fontId="16" fillId="0" borderId="57" xfId="0" applyNumberFormat="1" applyFont="1" applyFill="1" applyBorder="1" applyAlignment="1">
      <alignment horizontal="left" vertical="top" shrinkToFit="1"/>
    </xf>
    <xf numFmtId="1" fontId="26" fillId="0" borderId="4" xfId="0" applyNumberFormat="1" applyFont="1" applyBorder="1" applyAlignment="1">
      <alignment horizontal="left" vertical="center"/>
    </xf>
    <xf numFmtId="1" fontId="19" fillId="0" borderId="4" xfId="0" applyNumberFormat="1" applyFont="1" applyBorder="1" applyAlignment="1">
      <alignment horizontal="left"/>
    </xf>
    <xf numFmtId="1" fontId="26" fillId="0" borderId="4" xfId="0" applyNumberFormat="1" applyFont="1" applyFill="1" applyBorder="1" applyAlignment="1">
      <alignment horizontal="left"/>
    </xf>
    <xf numFmtId="0" fontId="25" fillId="0" borderId="32" xfId="0" applyFont="1" applyBorder="1" applyAlignment="1">
      <alignment horizontal="left"/>
    </xf>
    <xf numFmtId="0" fontId="17" fillId="0" borderId="8" xfId="0" applyFont="1" applyBorder="1"/>
    <xf numFmtId="0" fontId="17" fillId="0" borderId="33" xfId="0" applyFont="1" applyBorder="1"/>
    <xf numFmtId="0" fontId="17" fillId="0" borderId="7" xfId="0" applyFont="1" applyBorder="1"/>
    <xf numFmtId="0" fontId="17" fillId="0" borderId="9" xfId="0" applyFont="1" applyBorder="1"/>
    <xf numFmtId="0" fontId="17" fillId="0" borderId="4" xfId="0" applyFont="1" applyBorder="1"/>
    <xf numFmtId="0" fontId="17" fillId="0" borderId="14" xfId="0" applyFont="1" applyBorder="1"/>
    <xf numFmtId="0" fontId="17" fillId="0" borderId="2" xfId="0" applyFont="1" applyBorder="1"/>
    <xf numFmtId="0" fontId="17" fillId="0" borderId="1" xfId="0" applyFont="1" applyBorder="1"/>
    <xf numFmtId="0" fontId="17" fillId="0" borderId="4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9" xfId="0" applyFont="1" applyBorder="1"/>
    <xf numFmtId="0" fontId="25" fillId="0" borderId="16" xfId="0" applyFont="1" applyBorder="1" applyAlignment="1">
      <alignment horizontal="left"/>
    </xf>
    <xf numFmtId="0" fontId="16" fillId="0" borderId="4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/>
    <xf numFmtId="0" fontId="16" fillId="0" borderId="1" xfId="0" applyFont="1" applyBorder="1"/>
    <xf numFmtId="0" fontId="16" fillId="0" borderId="4" xfId="0" applyFont="1" applyBorder="1"/>
    <xf numFmtId="0" fontId="16" fillId="0" borderId="14" xfId="0" applyFont="1" applyBorder="1"/>
    <xf numFmtId="0" fontId="25" fillId="0" borderId="48" xfId="0" applyFont="1" applyBorder="1" applyAlignment="1">
      <alignment horizontal="left"/>
    </xf>
    <xf numFmtId="0" fontId="16" fillId="0" borderId="54" xfId="0" applyFont="1" applyBorder="1"/>
    <xf numFmtId="0" fontId="16" fillId="0" borderId="57" xfId="0" applyFont="1" applyBorder="1"/>
    <xf numFmtId="0" fontId="16" fillId="0" borderId="13" xfId="0" applyFont="1" applyBorder="1"/>
    <xf numFmtId="0" fontId="16" fillId="0" borderId="12" xfId="0" applyFont="1" applyBorder="1"/>
    <xf numFmtId="0" fontId="39" fillId="0" borderId="64" xfId="0" applyFont="1" applyFill="1" applyBorder="1" applyAlignment="1">
      <alignment horizontal="left" vertical="justify" wrapText="1"/>
    </xf>
    <xf numFmtId="0" fontId="39" fillId="0" borderId="59" xfId="0" applyFont="1" applyFill="1" applyBorder="1" applyAlignment="1">
      <alignment horizontal="left" vertical="justify" wrapText="1"/>
    </xf>
    <xf numFmtId="0" fontId="39" fillId="0" borderId="61" xfId="0" applyFont="1" applyFill="1" applyBorder="1" applyAlignment="1">
      <alignment horizontal="left" vertical="justify" wrapText="1"/>
    </xf>
    <xf numFmtId="1" fontId="24" fillId="0" borderId="58" xfId="0" applyNumberFormat="1" applyFont="1" applyFill="1" applyBorder="1" applyAlignment="1">
      <alignment horizontal="center" vertical="center" wrapText="1"/>
    </xf>
    <xf numFmtId="1" fontId="51" fillId="0" borderId="64" xfId="0" applyNumberFormat="1" applyFont="1" applyFill="1" applyBorder="1" applyAlignment="1">
      <alignment horizontal="left"/>
    </xf>
    <xf numFmtId="1" fontId="50" fillId="0" borderId="62" xfId="0" applyNumberFormat="1" applyFont="1" applyBorder="1" applyAlignment="1">
      <alignment horizontal="left"/>
    </xf>
    <xf numFmtId="1" fontId="50" fillId="0" borderId="74" xfId="0" applyNumberFormat="1" applyFont="1" applyBorder="1" applyAlignment="1">
      <alignment horizontal="left"/>
    </xf>
    <xf numFmtId="1" fontId="50" fillId="0" borderId="68" xfId="0" applyNumberFormat="1" applyFont="1" applyBorder="1" applyAlignment="1">
      <alignment horizontal="left"/>
    </xf>
    <xf numFmtId="1" fontId="50" fillId="0" borderId="60" xfId="0" applyNumberFormat="1" applyFont="1" applyBorder="1" applyAlignment="1">
      <alignment horizontal="left"/>
    </xf>
    <xf numFmtId="1" fontId="50" fillId="0" borderId="61" xfId="0" applyNumberFormat="1" applyFont="1" applyBorder="1" applyAlignment="1">
      <alignment horizontal="left"/>
    </xf>
    <xf numFmtId="1" fontId="50" fillId="0" borderId="59" xfId="0" applyNumberFormat="1" applyFont="1" applyBorder="1" applyAlignment="1">
      <alignment horizontal="left"/>
    </xf>
    <xf numFmtId="1" fontId="50" fillId="0" borderId="0" xfId="0" applyNumberFormat="1" applyFont="1" applyAlignment="1">
      <alignment horizontal="left"/>
    </xf>
    <xf numFmtId="1" fontId="51" fillId="0" borderId="62" xfId="0" applyNumberFormat="1" applyFont="1" applyBorder="1" applyAlignment="1">
      <alignment horizontal="left" vertical="center"/>
    </xf>
    <xf numFmtId="1" fontId="51" fillId="0" borderId="59" xfId="0" applyNumberFormat="1" applyFont="1" applyBorder="1" applyAlignment="1">
      <alignment horizontal="left" vertical="center"/>
    </xf>
    <xf numFmtId="1" fontId="51" fillId="0" borderId="60" xfId="0" applyNumberFormat="1" applyFont="1" applyBorder="1" applyAlignment="1">
      <alignment horizontal="left" vertical="center"/>
    </xf>
    <xf numFmtId="1" fontId="26" fillId="0" borderId="2" xfId="2" applyNumberFormat="1" applyFont="1" applyBorder="1" applyAlignment="1">
      <alignment horizontal="left"/>
    </xf>
    <xf numFmtId="1" fontId="26" fillId="0" borderId="1" xfId="2" applyNumberFormat="1" applyFont="1" applyBorder="1" applyAlignment="1">
      <alignment horizontal="left"/>
    </xf>
    <xf numFmtId="1" fontId="26" fillId="0" borderId="17" xfId="2" applyNumberFormat="1" applyFont="1" applyBorder="1" applyAlignment="1">
      <alignment horizontal="left"/>
    </xf>
    <xf numFmtId="1" fontId="26" fillId="0" borderId="20" xfId="2" applyNumberFormat="1" applyFont="1" applyBorder="1" applyAlignment="1">
      <alignment horizontal="left"/>
    </xf>
    <xf numFmtId="1" fontId="26" fillId="0" borderId="22" xfId="2" applyNumberFormat="1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8" fillId="0" borderId="76" xfId="0" applyFont="1" applyBorder="1"/>
    <xf numFmtId="0" fontId="8" fillId="0" borderId="77" xfId="0" applyFont="1" applyBorder="1"/>
    <xf numFmtId="0" fontId="8" fillId="0" borderId="41" xfId="0" applyFont="1" applyBorder="1"/>
    <xf numFmtId="0" fontId="17" fillId="0" borderId="59" xfId="0" applyFont="1" applyBorder="1" applyAlignment="1">
      <alignment horizontal="justify" vertical="justify" wrapText="1"/>
    </xf>
    <xf numFmtId="0" fontId="17" fillId="0" borderId="0" xfId="0" applyFont="1" applyAlignment="1">
      <alignment horizontal="justify" vertical="justify" wrapText="1"/>
    </xf>
    <xf numFmtId="0" fontId="47" fillId="0" borderId="16" xfId="0" applyFont="1" applyBorder="1" applyAlignment="1">
      <alignment horizontal="left"/>
    </xf>
    <xf numFmtId="1" fontId="47" fillId="0" borderId="4" xfId="0" applyNumberFormat="1" applyFont="1" applyBorder="1" applyAlignment="1">
      <alignment horizontal="left" vertical="center"/>
    </xf>
    <xf numFmtId="2" fontId="47" fillId="0" borderId="2" xfId="0" applyNumberFormat="1" applyFont="1" applyBorder="1" applyAlignment="1">
      <alignment horizontal="left" vertical="center"/>
    </xf>
    <xf numFmtId="2" fontId="47" fillId="0" borderId="16" xfId="0" applyNumberFormat="1" applyFont="1" applyBorder="1" applyAlignment="1">
      <alignment horizontal="left" vertical="center"/>
    </xf>
    <xf numFmtId="0" fontId="47" fillId="0" borderId="0" xfId="0" applyFont="1" applyAlignment="1">
      <alignment horizontal="left"/>
    </xf>
    <xf numFmtId="0" fontId="47" fillId="0" borderId="48" xfId="0" applyFont="1" applyBorder="1" applyAlignment="1">
      <alignment horizontal="left"/>
    </xf>
    <xf numFmtId="0" fontId="16" fillId="0" borderId="0" xfId="0" applyFont="1" applyAlignment="1">
      <alignment horizontal="justify" vertical="justify" wrapText="1"/>
    </xf>
    <xf numFmtId="0" fontId="39" fillId="0" borderId="62" xfId="0" applyFont="1" applyFill="1" applyBorder="1" applyAlignment="1">
      <alignment horizontal="left" vertical="justify" wrapText="1"/>
    </xf>
    <xf numFmtId="0" fontId="39" fillId="0" borderId="68" xfId="0" applyFont="1" applyFill="1" applyBorder="1" applyAlignment="1">
      <alignment horizontal="left" vertical="justify" wrapText="1"/>
    </xf>
    <xf numFmtId="0" fontId="39" fillId="0" borderId="74" xfId="0" applyFont="1" applyFill="1" applyBorder="1" applyAlignment="1">
      <alignment horizontal="left" vertical="justify" wrapText="1"/>
    </xf>
    <xf numFmtId="1" fontId="24" fillId="0" borderId="64" xfId="0" applyNumberFormat="1" applyFont="1" applyFill="1" applyBorder="1" applyAlignment="1">
      <alignment horizontal="center" vertical="center" wrapText="1"/>
    </xf>
    <xf numFmtId="1" fontId="24" fillId="0" borderId="63" xfId="0" applyNumberFormat="1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left"/>
    </xf>
    <xf numFmtId="0" fontId="23" fillId="0" borderId="73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1" fontId="24" fillId="0" borderId="64" xfId="0" applyNumberFormat="1" applyFont="1" applyFill="1" applyBorder="1" applyAlignment="1">
      <alignment horizontal="center" vertical="justify" wrapText="1"/>
    </xf>
    <xf numFmtId="1" fontId="24" fillId="0" borderId="63" xfId="0" applyNumberFormat="1" applyFont="1" applyFill="1" applyBorder="1" applyAlignment="1">
      <alignment horizontal="center" vertical="justify" wrapText="1"/>
    </xf>
    <xf numFmtId="1" fontId="16" fillId="0" borderId="64" xfId="0" applyNumberFormat="1" applyFont="1" applyBorder="1" applyAlignment="1">
      <alignment horizontal="center" vertical="center" wrapText="1"/>
    </xf>
    <xf numFmtId="1" fontId="16" fillId="0" borderId="61" xfId="0" applyNumberFormat="1" applyFont="1" applyBorder="1" applyAlignment="1">
      <alignment horizontal="center" vertical="center" wrapText="1"/>
    </xf>
    <xf numFmtId="1" fontId="16" fillId="0" borderId="64" xfId="0" applyNumberFormat="1" applyFont="1" applyFill="1" applyBorder="1" applyAlignment="1">
      <alignment horizontal="center" vertical="center" wrapText="1"/>
    </xf>
    <xf numFmtId="1" fontId="16" fillId="0" borderId="63" xfId="0" applyNumberFormat="1" applyFont="1" applyFill="1" applyBorder="1" applyAlignment="1">
      <alignment horizontal="center" vertical="center" wrapText="1"/>
    </xf>
    <xf numFmtId="1" fontId="16" fillId="0" borderId="63" xfId="0" applyNumberFormat="1" applyFont="1" applyBorder="1" applyAlignment="1">
      <alignment horizontal="center" vertical="center" wrapText="1"/>
    </xf>
    <xf numFmtId="1" fontId="16" fillId="0" borderId="61" xfId="0" applyNumberFormat="1" applyFont="1" applyFill="1" applyBorder="1" applyAlignment="1">
      <alignment horizontal="center" vertical="center" wrapText="1"/>
    </xf>
    <xf numFmtId="1" fontId="16" fillId="0" borderId="0" xfId="0" applyNumberFormat="1" applyFont="1" applyFill="1" applyBorder="1" applyAlignment="1">
      <alignment horizontal="left"/>
    </xf>
    <xf numFmtId="1" fontId="7" fillId="0" borderId="0" xfId="0" applyNumberFormat="1" applyFont="1" applyBorder="1" applyAlignment="1">
      <alignment horizontal="left"/>
    </xf>
    <xf numFmtId="1" fontId="16" fillId="0" borderId="41" xfId="0" applyNumberFormat="1" applyFont="1" applyBorder="1" applyAlignment="1">
      <alignment horizontal="left" vertical="center"/>
    </xf>
    <xf numFmtId="1" fontId="16" fillId="0" borderId="48" xfId="0" applyNumberFormat="1" applyFont="1" applyBorder="1" applyAlignment="1">
      <alignment horizontal="left" vertical="center"/>
    </xf>
    <xf numFmtId="1" fontId="16" fillId="0" borderId="64" xfId="0" applyNumberFormat="1" applyFont="1" applyBorder="1" applyAlignment="1">
      <alignment horizontal="center" vertical="justify" wrapText="1"/>
    </xf>
    <xf numFmtId="1" fontId="16" fillId="0" borderId="63" xfId="0" applyNumberFormat="1" applyFont="1" applyBorder="1" applyAlignment="1">
      <alignment horizontal="center" vertical="justify" wrapText="1"/>
    </xf>
    <xf numFmtId="1" fontId="16" fillId="0" borderId="73" xfId="0" applyNumberFormat="1" applyFont="1" applyBorder="1" applyAlignment="1">
      <alignment horizontal="center" vertical="center" wrapText="1"/>
    </xf>
    <xf numFmtId="1" fontId="16" fillId="0" borderId="58" xfId="0" applyNumberFormat="1" applyFont="1" applyBorder="1" applyAlignment="1">
      <alignment horizontal="center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1" fontId="16" fillId="0" borderId="73" xfId="0" applyNumberFormat="1" applyFont="1" applyFill="1" applyBorder="1" applyAlignment="1">
      <alignment horizontal="center" vertical="center" wrapText="1"/>
    </xf>
    <xf numFmtId="1" fontId="16" fillId="0" borderId="58" xfId="0" applyNumberFormat="1" applyFont="1" applyFill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1" fontId="16" fillId="0" borderId="49" xfId="0" applyNumberFormat="1" applyFont="1" applyFill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23" fillId="0" borderId="73" xfId="0" applyFont="1" applyFill="1" applyBorder="1" applyAlignment="1">
      <alignment horizontal="center" vertical="center" wrapText="1"/>
    </xf>
    <xf numFmtId="0" fontId="23" fillId="0" borderId="5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 wrapText="1"/>
    </xf>
    <xf numFmtId="0" fontId="23" fillId="0" borderId="73" xfId="0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left"/>
    </xf>
    <xf numFmtId="0" fontId="23" fillId="0" borderId="47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1" fontId="24" fillId="0" borderId="64" xfId="0" applyNumberFormat="1" applyFont="1" applyBorder="1" applyAlignment="1">
      <alignment horizontal="center" vertical="center" wrapText="1"/>
    </xf>
    <xf numFmtId="1" fontId="24" fillId="0" borderId="63" xfId="0" applyNumberFormat="1" applyFont="1" applyBorder="1" applyAlignment="1">
      <alignment horizontal="center" vertical="center" wrapText="1"/>
    </xf>
    <xf numFmtId="1" fontId="24" fillId="0" borderId="61" xfId="0" applyNumberFormat="1" applyFont="1" applyBorder="1" applyAlignment="1">
      <alignment horizontal="center" vertical="center" wrapText="1"/>
    </xf>
    <xf numFmtId="1" fontId="53" fillId="0" borderId="0" xfId="0" applyNumberFormat="1" applyFont="1" applyBorder="1" applyAlignment="1">
      <alignment horizontal="left"/>
    </xf>
    <xf numFmtId="1" fontId="24" fillId="0" borderId="73" xfId="0" applyNumberFormat="1" applyFont="1" applyBorder="1" applyAlignment="1">
      <alignment horizontal="center" vertical="center"/>
    </xf>
    <xf numFmtId="1" fontId="24" fillId="0" borderId="26" xfId="0" applyNumberFormat="1" applyFont="1" applyBorder="1" applyAlignment="1">
      <alignment horizontal="center" vertical="center"/>
    </xf>
    <xf numFmtId="1" fontId="24" fillId="0" borderId="61" xfId="0" applyNumberFormat="1" applyFont="1" applyFill="1" applyBorder="1" applyAlignment="1">
      <alignment horizontal="center" vertical="center" wrapText="1"/>
    </xf>
    <xf numFmtId="1" fontId="52" fillId="0" borderId="0" xfId="0" applyNumberFormat="1" applyFont="1" applyFill="1" applyBorder="1" applyAlignment="1">
      <alignment horizontal="left"/>
    </xf>
    <xf numFmtId="1" fontId="24" fillId="0" borderId="24" xfId="0" applyNumberFormat="1" applyFont="1" applyBorder="1" applyAlignment="1">
      <alignment horizontal="left" vertical="center"/>
    </xf>
    <xf numFmtId="1" fontId="24" fillId="0" borderId="75" xfId="0" applyNumberFormat="1" applyFont="1" applyBorder="1" applyAlignment="1">
      <alignment horizontal="left" vertical="center"/>
    </xf>
    <xf numFmtId="0" fontId="16" fillId="0" borderId="64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/>
    </xf>
    <xf numFmtId="0" fontId="54" fillId="0" borderId="0" xfId="0" applyFont="1" applyBorder="1" applyAlignment="1">
      <alignment horizontal="left"/>
    </xf>
    <xf numFmtId="0" fontId="23" fillId="0" borderId="41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1" fontId="24" fillId="0" borderId="73" xfId="0" applyNumberFormat="1" applyFont="1" applyFill="1" applyBorder="1" applyAlignment="1">
      <alignment horizontal="center" vertical="center" wrapText="1"/>
    </xf>
    <xf numFmtId="1" fontId="24" fillId="0" borderId="58" xfId="0" applyNumberFormat="1" applyFont="1" applyFill="1" applyBorder="1" applyAlignment="1">
      <alignment horizontal="center" vertical="center" wrapText="1"/>
    </xf>
    <xf numFmtId="1" fontId="24" fillId="0" borderId="49" xfId="0" applyNumberFormat="1" applyFont="1" applyFill="1" applyBorder="1" applyAlignment="1">
      <alignment horizontal="center" vertical="center" wrapText="1"/>
    </xf>
    <xf numFmtId="1" fontId="23" fillId="0" borderId="64" xfId="0" applyNumberFormat="1" applyFont="1" applyFill="1" applyBorder="1" applyAlignment="1">
      <alignment horizontal="center" vertical="center" wrapText="1"/>
    </xf>
    <xf numFmtId="1" fontId="23" fillId="0" borderId="63" xfId="0" applyNumberFormat="1" applyFont="1" applyFill="1" applyBorder="1" applyAlignment="1">
      <alignment horizontal="center" vertical="center" wrapText="1"/>
    </xf>
    <xf numFmtId="0" fontId="41" fillId="0" borderId="47" xfId="0" applyFont="1" applyBorder="1" applyAlignment="1">
      <alignment horizontal="center"/>
    </xf>
    <xf numFmtId="0" fontId="41" fillId="0" borderId="15" xfId="0" applyFont="1" applyBorder="1" applyAlignment="1">
      <alignment horizontal="center"/>
    </xf>
    <xf numFmtId="0" fontId="39" fillId="0" borderId="66" xfId="0" applyFont="1" applyBorder="1" applyAlignment="1">
      <alignment horizontal="center"/>
    </xf>
    <xf numFmtId="0" fontId="39" fillId="0" borderId="67" xfId="0" applyFont="1" applyBorder="1" applyAlignment="1">
      <alignment horizontal="center"/>
    </xf>
    <xf numFmtId="0" fontId="16" fillId="0" borderId="64" xfId="0" applyFont="1" applyBorder="1" applyAlignment="1">
      <alignment horizontal="justify" vertical="justify" wrapText="1"/>
    </xf>
    <xf numFmtId="0" fontId="16" fillId="0" borderId="61" xfId="0" applyFont="1" applyBorder="1" applyAlignment="1">
      <alignment horizontal="justify" vertical="justify" wrapText="1"/>
    </xf>
    <xf numFmtId="0" fontId="16" fillId="0" borderId="63" xfId="0" applyFont="1" applyBorder="1" applyAlignment="1">
      <alignment horizontal="justify" vertical="justify" wrapText="1"/>
    </xf>
    <xf numFmtId="0" fontId="16" fillId="0" borderId="66" xfId="0" applyFont="1" applyBorder="1" applyAlignment="1">
      <alignment horizontal="justify" vertical="justify" wrapText="1"/>
    </xf>
    <xf numFmtId="0" fontId="16" fillId="0" borderId="77" xfId="0" applyFont="1" applyBorder="1" applyAlignment="1">
      <alignment horizontal="justify" vertical="justify" wrapText="1"/>
    </xf>
    <xf numFmtId="0" fontId="16" fillId="0" borderId="76" xfId="0" applyFont="1" applyBorder="1" applyAlignment="1">
      <alignment horizontal="justify" vertical="justify" wrapText="1"/>
    </xf>
    <xf numFmtId="0" fontId="16" fillId="0" borderId="49" xfId="0" applyFont="1" applyBorder="1" applyAlignment="1">
      <alignment horizontal="justify" vertical="justify" wrapText="1"/>
    </xf>
    <xf numFmtId="0" fontId="16" fillId="0" borderId="58" xfId="0" applyFont="1" applyBorder="1" applyAlignment="1">
      <alignment horizontal="justify" vertical="justify" wrapText="1"/>
    </xf>
    <xf numFmtId="0" fontId="24" fillId="0" borderId="64" xfId="0" applyFont="1" applyBorder="1" applyAlignment="1">
      <alignment horizontal="justify" vertical="justify" wrapText="1"/>
    </xf>
    <xf numFmtId="0" fontId="24" fillId="0" borderId="61" xfId="0" applyFont="1" applyBorder="1" applyAlignment="1">
      <alignment horizontal="justify" vertical="justify" wrapText="1"/>
    </xf>
    <xf numFmtId="0" fontId="24" fillId="0" borderId="63" xfId="0" applyFont="1" applyBorder="1" applyAlignment="1">
      <alignment horizontal="justify" vertical="justify" wrapText="1"/>
    </xf>
    <xf numFmtId="0" fontId="16" fillId="0" borderId="36" xfId="0" applyFont="1" applyBorder="1" applyAlignment="1">
      <alignment horizontal="justify" vertical="justify" wrapText="1"/>
    </xf>
    <xf numFmtId="0" fontId="16" fillId="0" borderId="37" xfId="0" applyFont="1" applyBorder="1" applyAlignment="1">
      <alignment horizontal="justify" vertical="justify" wrapText="1"/>
    </xf>
    <xf numFmtId="0" fontId="16" fillId="0" borderId="38" xfId="0" applyFont="1" applyBorder="1" applyAlignment="1">
      <alignment horizontal="justify" vertical="justify" wrapText="1"/>
    </xf>
    <xf numFmtId="0" fontId="16" fillId="0" borderId="62" xfId="0" applyFont="1" applyBorder="1" applyAlignment="1">
      <alignment horizontal="justify" vertical="justify" wrapText="1"/>
    </xf>
    <xf numFmtId="0" fontId="16" fillId="0" borderId="65" xfId="0" applyFont="1" applyBorder="1" applyAlignment="1">
      <alignment horizontal="justify" vertical="justify" wrapText="1"/>
    </xf>
    <xf numFmtId="0" fontId="16" fillId="0" borderId="68" xfId="0" applyFont="1" applyBorder="1" applyAlignment="1">
      <alignment horizontal="justify" vertical="justify" wrapText="1"/>
    </xf>
    <xf numFmtId="0" fontId="16" fillId="0" borderId="64" xfId="0" applyFont="1" applyFill="1" applyBorder="1" applyAlignment="1">
      <alignment horizontal="justify" vertical="justify" wrapText="1"/>
    </xf>
    <xf numFmtId="0" fontId="16" fillId="0" borderId="61" xfId="0" applyFont="1" applyFill="1" applyBorder="1" applyAlignment="1">
      <alignment horizontal="justify" vertical="justify" wrapText="1"/>
    </xf>
    <xf numFmtId="0" fontId="16" fillId="0" borderId="63" xfId="0" applyFont="1" applyFill="1" applyBorder="1" applyAlignment="1">
      <alignment horizontal="justify" vertical="justify" wrapText="1"/>
    </xf>
    <xf numFmtId="0" fontId="16" fillId="0" borderId="66" xfId="0" applyFont="1" applyFill="1" applyBorder="1" applyAlignment="1">
      <alignment horizontal="justify" vertical="justify" wrapText="1"/>
    </xf>
    <xf numFmtId="0" fontId="16" fillId="0" borderId="77" xfId="0" applyFont="1" applyFill="1" applyBorder="1" applyAlignment="1">
      <alignment horizontal="justify" vertical="justify" wrapText="1"/>
    </xf>
    <xf numFmtId="0" fontId="16" fillId="0" borderId="76" xfId="0" applyFont="1" applyFill="1" applyBorder="1" applyAlignment="1">
      <alignment horizontal="justify" vertical="justify" wrapText="1"/>
    </xf>
    <xf numFmtId="0" fontId="39" fillId="0" borderId="49" xfId="0" applyFont="1" applyBorder="1" applyAlignment="1">
      <alignment horizontal="center"/>
    </xf>
    <xf numFmtId="0" fontId="39" fillId="0" borderId="58" xfId="0" applyFont="1" applyBorder="1" applyAlignment="1">
      <alignment horizontal="center"/>
    </xf>
    <xf numFmtId="0" fontId="39" fillId="0" borderId="73" xfId="0" applyFont="1" applyBorder="1" applyAlignment="1">
      <alignment horizontal="center"/>
    </xf>
    <xf numFmtId="0" fontId="39" fillId="0" borderId="64" xfId="0" applyFont="1" applyBorder="1" applyAlignment="1">
      <alignment horizontal="center"/>
    </xf>
    <xf numFmtId="0" fontId="39" fillId="0" borderId="61" xfId="0" applyFont="1" applyBorder="1" applyAlignment="1">
      <alignment horizontal="center"/>
    </xf>
    <xf numFmtId="0" fontId="39" fillId="0" borderId="63" xfId="0" applyFont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2" fillId="0" borderId="73" xfId="0" applyFont="1" applyBorder="1" applyAlignment="1">
      <alignment horizontal="justify" vertical="justify" wrapText="1"/>
    </xf>
    <xf numFmtId="0" fontId="2" fillId="0" borderId="49" xfId="0" applyFont="1" applyBorder="1" applyAlignment="1">
      <alignment horizontal="justify" vertical="justify" wrapText="1"/>
    </xf>
    <xf numFmtId="0" fontId="2" fillId="0" borderId="64" xfId="0" applyFont="1" applyBorder="1" applyAlignment="1">
      <alignment horizontal="justify" vertical="justify" wrapText="1"/>
    </xf>
    <xf numFmtId="0" fontId="2" fillId="0" borderId="63" xfId="0" applyFont="1" applyBorder="1" applyAlignment="1">
      <alignment horizontal="justify" vertical="justify" wrapText="1"/>
    </xf>
    <xf numFmtId="0" fontId="2" fillId="0" borderId="66" xfId="0" applyFont="1" applyBorder="1" applyAlignment="1">
      <alignment horizontal="center" vertical="justify" wrapText="1"/>
    </xf>
    <xf numFmtId="0" fontId="2" fillId="0" borderId="78" xfId="0" applyFont="1" applyBorder="1" applyAlignment="1">
      <alignment horizontal="center" vertical="justify" wrapText="1"/>
    </xf>
    <xf numFmtId="0" fontId="2" fillId="0" borderId="79" xfId="0" applyFont="1" applyFill="1" applyBorder="1" applyAlignment="1">
      <alignment horizontal="center" vertical="justify" wrapText="1"/>
    </xf>
    <xf numFmtId="0" fontId="2" fillId="0" borderId="76" xfId="0" applyFont="1" applyFill="1" applyBorder="1" applyAlignment="1">
      <alignment horizontal="center" vertical="justify" wrapText="1"/>
    </xf>
    <xf numFmtId="0" fontId="2" fillId="0" borderId="76" xfId="0" applyFont="1" applyBorder="1" applyAlignment="1">
      <alignment horizontal="center" vertical="justify" wrapText="1"/>
    </xf>
    <xf numFmtId="0" fontId="16" fillId="0" borderId="47" xfId="0" applyFont="1" applyBorder="1" applyAlignment="1">
      <alignment horizontal="left" vertical="center"/>
    </xf>
    <xf numFmtId="0" fontId="16" fillId="0" borderId="53" xfId="0" applyFont="1" applyBorder="1" applyAlignment="1">
      <alignment horizontal="left" vertical="center"/>
    </xf>
    <xf numFmtId="0" fontId="2" fillId="0" borderId="66" xfId="0" applyFont="1" applyBorder="1" applyAlignment="1">
      <alignment horizontal="justify" vertical="justify" wrapText="1"/>
    </xf>
    <xf numFmtId="0" fontId="2" fillId="0" borderId="77" xfId="0" applyFont="1" applyBorder="1" applyAlignment="1">
      <alignment horizontal="justify" vertical="justify" wrapText="1"/>
    </xf>
    <xf numFmtId="0" fontId="2" fillId="0" borderId="58" xfId="0" applyFont="1" applyBorder="1" applyAlignment="1">
      <alignment horizontal="justify" vertical="justify" wrapText="1"/>
    </xf>
    <xf numFmtId="0" fontId="2" fillId="0" borderId="64" xfId="0" applyFont="1" applyBorder="1" applyAlignment="1">
      <alignment horizontal="center" vertical="justify" wrapText="1"/>
    </xf>
    <xf numFmtId="0" fontId="2" fillId="0" borderId="63" xfId="0" applyFont="1" applyBorder="1" applyAlignment="1">
      <alignment horizontal="center" vertical="justify" wrapText="1"/>
    </xf>
    <xf numFmtId="0" fontId="2" fillId="0" borderId="77" xfId="0" applyFont="1" applyBorder="1" applyAlignment="1">
      <alignment horizontal="center" vertical="justify" wrapText="1"/>
    </xf>
    <xf numFmtId="0" fontId="2" fillId="0" borderId="66" xfId="0" applyFont="1" applyFill="1" applyBorder="1" applyAlignment="1">
      <alignment horizontal="center" vertical="justify" wrapText="1"/>
    </xf>
    <xf numFmtId="0" fontId="2" fillId="0" borderId="64" xfId="0" applyFont="1" applyFill="1" applyBorder="1" applyAlignment="1">
      <alignment horizontal="center" vertical="justify" wrapText="1"/>
    </xf>
    <xf numFmtId="0" fontId="2" fillId="0" borderId="63" xfId="0" applyFont="1" applyFill="1" applyBorder="1" applyAlignment="1">
      <alignment horizontal="center" vertical="justify" wrapText="1"/>
    </xf>
    <xf numFmtId="0" fontId="2" fillId="0" borderId="77" xfId="0" applyFont="1" applyFill="1" applyBorder="1" applyAlignment="1">
      <alignment horizontal="center" vertical="justify" wrapText="1"/>
    </xf>
    <xf numFmtId="0" fontId="24" fillId="0" borderId="79" xfId="0" applyFont="1" applyBorder="1" applyAlignment="1">
      <alignment horizontal="center" vertical="justify" wrapText="1"/>
    </xf>
    <xf numFmtId="0" fontId="24" fillId="0" borderId="78" xfId="0" applyFont="1" applyBorder="1" applyAlignment="1">
      <alignment horizontal="center" vertical="justify" wrapText="1"/>
    </xf>
    <xf numFmtId="1" fontId="24" fillId="0" borderId="36" xfId="0" applyNumberFormat="1" applyFont="1" applyBorder="1" applyAlignment="1">
      <alignment horizontal="justify" vertical="justify" wrapText="1"/>
    </xf>
    <xf numFmtId="1" fontId="24" fillId="0" borderId="38" xfId="0" applyNumberFormat="1" applyFont="1" applyBorder="1" applyAlignment="1">
      <alignment horizontal="justify" vertical="justify" wrapText="1"/>
    </xf>
    <xf numFmtId="1" fontId="24" fillId="0" borderId="66" xfId="0" applyNumberFormat="1" applyFont="1" applyBorder="1" applyAlignment="1">
      <alignment horizontal="center" vertical="justify" wrapText="1"/>
    </xf>
    <xf numFmtId="1" fontId="24" fillId="0" borderId="76" xfId="0" applyNumberFormat="1" applyFont="1" applyBorder="1" applyAlignment="1">
      <alignment horizontal="center" vertical="justify" wrapText="1"/>
    </xf>
    <xf numFmtId="0" fontId="24" fillId="0" borderId="79" xfId="0" applyFont="1" applyFill="1" applyBorder="1" applyAlignment="1">
      <alignment horizontal="center" vertical="justify" wrapText="1"/>
    </xf>
    <xf numFmtId="0" fontId="24" fillId="0" borderId="78" xfId="0" applyFont="1" applyFill="1" applyBorder="1" applyAlignment="1">
      <alignment horizontal="center" vertical="justify" wrapText="1"/>
    </xf>
    <xf numFmtId="0" fontId="24" fillId="0" borderId="66" xfId="0" applyFont="1" applyBorder="1" applyAlignment="1">
      <alignment horizontal="center" vertical="justify" wrapText="1"/>
    </xf>
    <xf numFmtId="0" fontId="24" fillId="0" borderId="76" xfId="0" applyFont="1" applyBorder="1" applyAlignment="1">
      <alignment horizontal="center" vertical="justify" wrapText="1"/>
    </xf>
    <xf numFmtId="0" fontId="24" fillId="0" borderId="66" xfId="0" applyFont="1" applyFill="1" applyBorder="1" applyAlignment="1">
      <alignment horizontal="justify" vertical="justify" wrapText="1"/>
    </xf>
    <xf numFmtId="0" fontId="24" fillId="0" borderId="76" xfId="0" applyFont="1" applyFill="1" applyBorder="1" applyAlignment="1">
      <alignment horizontal="justify" vertical="justify" wrapText="1"/>
    </xf>
    <xf numFmtId="0" fontId="24" fillId="0" borderId="77" xfId="0" applyFont="1" applyFill="1" applyBorder="1" applyAlignment="1">
      <alignment horizontal="justify" vertical="justify" wrapText="1"/>
    </xf>
    <xf numFmtId="0" fontId="24" fillId="0" borderId="66" xfId="0" applyFont="1" applyBorder="1" applyAlignment="1">
      <alignment horizontal="justify" vertical="justify" wrapText="1"/>
    </xf>
    <xf numFmtId="0" fontId="24" fillId="0" borderId="77" xfId="0" applyFont="1" applyBorder="1" applyAlignment="1">
      <alignment horizontal="justify" vertical="justify" wrapText="1"/>
    </xf>
    <xf numFmtId="0" fontId="24" fillId="0" borderId="76" xfId="0" applyFont="1" applyBorder="1" applyAlignment="1">
      <alignment horizontal="justify" vertical="justify" wrapText="1"/>
    </xf>
    <xf numFmtId="0" fontId="24" fillId="0" borderId="78" xfId="0" applyFont="1" applyBorder="1" applyAlignment="1">
      <alignment horizontal="justify" vertical="justify" wrapText="1"/>
    </xf>
    <xf numFmtId="0" fontId="24" fillId="0" borderId="77" xfId="0" applyFont="1" applyBorder="1" applyAlignment="1">
      <alignment horizontal="center" vertical="justify" wrapText="1"/>
    </xf>
    <xf numFmtId="0" fontId="24" fillId="0" borderId="66" xfId="0" applyFont="1" applyFill="1" applyBorder="1" applyAlignment="1">
      <alignment horizontal="center" vertical="justify" wrapText="1"/>
    </xf>
    <xf numFmtId="0" fontId="24" fillId="0" borderId="76" xfId="0" applyFont="1" applyFill="1" applyBorder="1" applyAlignment="1">
      <alignment horizontal="center" vertical="justify" wrapText="1"/>
    </xf>
    <xf numFmtId="0" fontId="7" fillId="0" borderId="0" xfId="0" applyFont="1" applyBorder="1" applyAlignment="1">
      <alignment horizontal="left"/>
    </xf>
    <xf numFmtId="0" fontId="23" fillId="0" borderId="47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4" fillId="0" borderId="64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16" fillId="0" borderId="6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</cellXfs>
  <cellStyles count="3">
    <cellStyle name="Comma" xfId="1" builtinId="3"/>
    <cellStyle name="Comma 18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X60"/>
  <sheetViews>
    <sheetView workbookViewId="0">
      <pane xSplit="1" topLeftCell="AG1" activePane="topRight" state="frozen"/>
      <selection pane="topRight" activeCell="AV56" sqref="AV56"/>
    </sheetView>
    <sheetView tabSelected="1" topLeftCell="L1" workbookViewId="1">
      <selection activeCell="T6" sqref="T6"/>
    </sheetView>
  </sheetViews>
  <sheetFormatPr defaultRowHeight="16.5"/>
  <cols>
    <col min="1" max="1" width="65" style="94" bestFit="1" customWidth="1"/>
    <col min="2" max="2" width="3.85546875" style="94" customWidth="1"/>
    <col min="3" max="12" width="14.5703125" style="94" bestFit="1" customWidth="1"/>
    <col min="13" max="14" width="14.5703125" style="415" bestFit="1" customWidth="1"/>
    <col min="15" max="48" width="14.5703125" style="94" bestFit="1" customWidth="1"/>
    <col min="49" max="50" width="15.7109375" style="94" bestFit="1" customWidth="1"/>
    <col min="51" max="16384" width="9.140625" style="94"/>
  </cols>
  <sheetData>
    <row r="1" spans="1:50" ht="18.75" thickBot="1">
      <c r="A1" s="1203" t="s">
        <v>271</v>
      </c>
      <c r="B1" s="1203"/>
      <c r="C1" s="1203"/>
      <c r="D1" s="1203"/>
      <c r="E1" s="1203"/>
      <c r="F1" s="1203"/>
      <c r="G1" s="1203"/>
      <c r="H1" s="1203"/>
      <c r="I1" s="1203"/>
      <c r="J1" s="1203"/>
      <c r="K1" s="1203"/>
      <c r="L1" s="1203"/>
      <c r="M1" s="1203"/>
      <c r="N1" s="1203"/>
      <c r="O1" s="1203"/>
      <c r="P1" s="1203"/>
      <c r="Q1" s="1203"/>
      <c r="R1" s="1203"/>
      <c r="S1" s="1203"/>
      <c r="T1" s="1203"/>
      <c r="U1" s="1203"/>
      <c r="V1" s="1203"/>
      <c r="W1" s="1203"/>
      <c r="X1" s="1203"/>
      <c r="Y1" s="1203"/>
      <c r="Z1" s="1203"/>
      <c r="AA1" s="1203"/>
      <c r="AB1" s="1203"/>
      <c r="AC1" s="1203"/>
      <c r="AD1" s="1203"/>
      <c r="AE1" s="1203"/>
      <c r="AF1" s="1203"/>
      <c r="AG1" s="1203"/>
      <c r="AH1" s="1203"/>
      <c r="AI1" s="1203"/>
      <c r="AJ1" s="1203"/>
      <c r="AK1" s="1203"/>
      <c r="AL1" s="1203"/>
      <c r="AM1" s="1203"/>
      <c r="AN1" s="1203"/>
      <c r="AO1" s="1203"/>
      <c r="AP1" s="1203"/>
      <c r="AQ1" s="1203"/>
      <c r="AR1" s="1203"/>
      <c r="AS1" s="1203"/>
      <c r="AT1" s="1203"/>
      <c r="AU1" s="1203"/>
      <c r="AV1" s="1203"/>
      <c r="AW1" s="1203"/>
      <c r="AX1" s="1203"/>
    </row>
    <row r="2" spans="1:50" ht="69" customHeight="1" thickBot="1">
      <c r="A2" s="1204" t="s">
        <v>0</v>
      </c>
      <c r="B2" s="651"/>
      <c r="C2" s="1206" t="s">
        <v>164</v>
      </c>
      <c r="D2" s="1207"/>
      <c r="E2" s="1201" t="s">
        <v>165</v>
      </c>
      <c r="F2" s="1202"/>
      <c r="G2" s="1201" t="s">
        <v>166</v>
      </c>
      <c r="H2" s="1202"/>
      <c r="I2" s="1201" t="s">
        <v>167</v>
      </c>
      <c r="J2" s="1202"/>
      <c r="K2" s="1201" t="s">
        <v>168</v>
      </c>
      <c r="L2" s="1202"/>
      <c r="M2" s="1201" t="s">
        <v>169</v>
      </c>
      <c r="N2" s="1202"/>
      <c r="O2" s="1201" t="s">
        <v>371</v>
      </c>
      <c r="P2" s="1202"/>
      <c r="Q2" s="1201" t="s">
        <v>171</v>
      </c>
      <c r="R2" s="1202"/>
      <c r="S2" s="1201" t="s">
        <v>172</v>
      </c>
      <c r="T2" s="1202"/>
      <c r="U2" s="1201" t="s">
        <v>173</v>
      </c>
      <c r="V2" s="1202"/>
      <c r="W2" s="1201" t="s">
        <v>174</v>
      </c>
      <c r="X2" s="1202"/>
      <c r="Y2" s="1201" t="s">
        <v>175</v>
      </c>
      <c r="Z2" s="1202"/>
      <c r="AA2" s="1201" t="s">
        <v>176</v>
      </c>
      <c r="AB2" s="1202"/>
      <c r="AC2" s="1201" t="s">
        <v>177</v>
      </c>
      <c r="AD2" s="1202"/>
      <c r="AE2" s="1201" t="s">
        <v>178</v>
      </c>
      <c r="AF2" s="1202"/>
      <c r="AG2" s="1201" t="s">
        <v>179</v>
      </c>
      <c r="AH2" s="1202"/>
      <c r="AI2" s="1201" t="s">
        <v>180</v>
      </c>
      <c r="AJ2" s="1202"/>
      <c r="AK2" s="1201" t="s">
        <v>181</v>
      </c>
      <c r="AL2" s="1202"/>
      <c r="AM2" s="1201" t="s">
        <v>182</v>
      </c>
      <c r="AN2" s="1202"/>
      <c r="AO2" s="1201" t="s">
        <v>183</v>
      </c>
      <c r="AP2" s="1202"/>
      <c r="AQ2" s="1201" t="s">
        <v>184</v>
      </c>
      <c r="AR2" s="1202"/>
      <c r="AS2" s="1201" t="s">
        <v>185</v>
      </c>
      <c r="AT2" s="1202"/>
      <c r="AU2" s="1201" t="s">
        <v>186</v>
      </c>
      <c r="AV2" s="1202"/>
      <c r="AW2" s="1201" t="s">
        <v>187</v>
      </c>
      <c r="AX2" s="1202"/>
    </row>
    <row r="3" spans="1:50" s="472" customFormat="1" ht="15" customHeight="1" thickBot="1">
      <c r="A3" s="1205"/>
      <c r="B3" s="663"/>
      <c r="C3" s="525" t="s">
        <v>300</v>
      </c>
      <c r="D3" s="525" t="s">
        <v>362</v>
      </c>
      <c r="E3" s="525" t="s">
        <v>300</v>
      </c>
      <c r="F3" s="525" t="s">
        <v>362</v>
      </c>
      <c r="G3" s="525" t="s">
        <v>300</v>
      </c>
      <c r="H3" s="525" t="s">
        <v>362</v>
      </c>
      <c r="I3" s="525" t="s">
        <v>300</v>
      </c>
      <c r="J3" s="525" t="s">
        <v>362</v>
      </c>
      <c r="K3" s="525" t="s">
        <v>300</v>
      </c>
      <c r="L3" s="525" t="s">
        <v>362</v>
      </c>
      <c r="M3" s="525" t="s">
        <v>300</v>
      </c>
      <c r="N3" s="525" t="s">
        <v>362</v>
      </c>
      <c r="O3" s="525" t="s">
        <v>300</v>
      </c>
      <c r="P3" s="525" t="s">
        <v>362</v>
      </c>
      <c r="Q3" s="525" t="s">
        <v>300</v>
      </c>
      <c r="R3" s="525" t="s">
        <v>362</v>
      </c>
      <c r="S3" s="525" t="s">
        <v>300</v>
      </c>
      <c r="T3" s="525" t="s">
        <v>362</v>
      </c>
      <c r="U3" s="525" t="s">
        <v>300</v>
      </c>
      <c r="V3" s="525" t="s">
        <v>362</v>
      </c>
      <c r="W3" s="525" t="s">
        <v>300</v>
      </c>
      <c r="X3" s="525" t="s">
        <v>362</v>
      </c>
      <c r="Y3" s="525" t="s">
        <v>300</v>
      </c>
      <c r="Z3" s="525" t="s">
        <v>362</v>
      </c>
      <c r="AA3" s="525" t="s">
        <v>300</v>
      </c>
      <c r="AB3" s="525" t="s">
        <v>362</v>
      </c>
      <c r="AC3" s="525" t="s">
        <v>300</v>
      </c>
      <c r="AD3" s="525" t="s">
        <v>362</v>
      </c>
      <c r="AE3" s="525" t="s">
        <v>300</v>
      </c>
      <c r="AF3" s="525" t="s">
        <v>362</v>
      </c>
      <c r="AG3" s="525" t="s">
        <v>300</v>
      </c>
      <c r="AH3" s="525" t="s">
        <v>362</v>
      </c>
      <c r="AI3" s="525" t="s">
        <v>300</v>
      </c>
      <c r="AJ3" s="525" t="s">
        <v>362</v>
      </c>
      <c r="AK3" s="525" t="s">
        <v>300</v>
      </c>
      <c r="AL3" s="525" t="s">
        <v>362</v>
      </c>
      <c r="AM3" s="525" t="s">
        <v>300</v>
      </c>
      <c r="AN3" s="525" t="s">
        <v>362</v>
      </c>
      <c r="AO3" s="525" t="s">
        <v>300</v>
      </c>
      <c r="AP3" s="525" t="s">
        <v>362</v>
      </c>
      <c r="AQ3" s="525" t="s">
        <v>300</v>
      </c>
      <c r="AR3" s="525" t="s">
        <v>362</v>
      </c>
      <c r="AS3" s="525" t="s">
        <v>300</v>
      </c>
      <c r="AT3" s="525" t="s">
        <v>362</v>
      </c>
      <c r="AU3" s="525" t="s">
        <v>300</v>
      </c>
      <c r="AV3" s="525" t="s">
        <v>362</v>
      </c>
      <c r="AW3" s="525" t="s">
        <v>300</v>
      </c>
      <c r="AX3" s="525" t="s">
        <v>362</v>
      </c>
    </row>
    <row r="4" spans="1:50" ht="15" customHeight="1">
      <c r="A4" s="434" t="s">
        <v>21</v>
      </c>
      <c r="B4" s="437"/>
      <c r="C4" s="435"/>
      <c r="D4" s="783"/>
      <c r="E4" s="436"/>
      <c r="F4" s="436"/>
      <c r="G4" s="439"/>
      <c r="H4" s="436"/>
      <c r="I4" s="436"/>
      <c r="J4" s="436"/>
      <c r="K4" s="436"/>
      <c r="L4" s="436"/>
      <c r="M4" s="442"/>
      <c r="N4" s="442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6"/>
      <c r="AB4" s="436"/>
      <c r="AC4" s="436"/>
      <c r="AD4" s="436"/>
      <c r="AE4" s="436"/>
      <c r="AF4" s="436"/>
      <c r="AG4" s="436"/>
      <c r="AH4" s="436"/>
      <c r="AI4" s="436"/>
      <c r="AJ4" s="436"/>
      <c r="AK4" s="436"/>
      <c r="AL4" s="436"/>
      <c r="AM4" s="436"/>
      <c r="AN4" s="436"/>
      <c r="AO4" s="436"/>
      <c r="AP4" s="436"/>
      <c r="AQ4" s="436"/>
      <c r="AR4" s="436"/>
      <c r="AS4" s="436"/>
      <c r="AT4" s="436"/>
      <c r="AU4" s="436"/>
      <c r="AV4" s="436"/>
      <c r="AW4" s="439"/>
      <c r="AX4" s="436"/>
    </row>
    <row r="5" spans="1:50" ht="25.5" customHeight="1">
      <c r="A5" s="365" t="s">
        <v>22</v>
      </c>
      <c r="B5" s="433" t="s">
        <v>198</v>
      </c>
      <c r="C5" s="429">
        <v>12606935</v>
      </c>
      <c r="D5" s="784">
        <v>16895972</v>
      </c>
      <c r="E5" s="431">
        <v>1056989</v>
      </c>
      <c r="F5" s="431">
        <v>994297</v>
      </c>
      <c r="G5" s="440">
        <v>2205252</v>
      </c>
      <c r="H5" s="431">
        <v>1961279</v>
      </c>
      <c r="I5" s="431">
        <v>18366955</v>
      </c>
      <c r="J5" s="431">
        <v>16996802</v>
      </c>
      <c r="K5" s="431">
        <v>4146848</v>
      </c>
      <c r="L5" s="431">
        <v>3391468</v>
      </c>
      <c r="M5" s="443">
        <v>8522289</v>
      </c>
      <c r="N5" s="443">
        <v>9481628</v>
      </c>
      <c r="O5" s="431">
        <v>2999791</v>
      </c>
      <c r="P5" s="787">
        <v>1973064</v>
      </c>
      <c r="Q5" s="445">
        <v>1646094</v>
      </c>
      <c r="R5" s="445">
        <v>1637026</v>
      </c>
      <c r="S5" s="1124">
        <v>5723535</v>
      </c>
      <c r="T5" s="431">
        <v>5093071</v>
      </c>
      <c r="U5" s="431">
        <v>2347064</v>
      </c>
      <c r="V5" s="431">
        <v>1393344</v>
      </c>
      <c r="W5" s="431">
        <v>65357676</v>
      </c>
      <c r="X5" s="431">
        <v>58625612</v>
      </c>
      <c r="Y5" s="431">
        <v>63292782</v>
      </c>
      <c r="Z5" s="431">
        <v>57467132</v>
      </c>
      <c r="AA5" s="449">
        <v>2981106</v>
      </c>
      <c r="AB5" s="449">
        <v>2371693</v>
      </c>
      <c r="AC5" s="431">
        <v>7148326</v>
      </c>
      <c r="AD5" s="431">
        <v>5642907</v>
      </c>
      <c r="AE5" s="431">
        <v>16402505</v>
      </c>
      <c r="AF5" s="431">
        <v>12065102</v>
      </c>
      <c r="AG5" s="431">
        <v>26508163</v>
      </c>
      <c r="AH5" s="431">
        <v>27511617</v>
      </c>
      <c r="AI5" s="431">
        <v>9286065</v>
      </c>
      <c r="AJ5" s="431">
        <v>7720895</v>
      </c>
      <c r="AK5" s="431">
        <v>8391036</v>
      </c>
      <c r="AL5" s="431">
        <v>7721180</v>
      </c>
      <c r="AM5" s="452"/>
      <c r="AN5" s="452"/>
      <c r="AO5" s="453">
        <v>66944378</v>
      </c>
      <c r="AP5" s="453">
        <v>76434424</v>
      </c>
      <c r="AQ5" s="456">
        <v>2887936</v>
      </c>
      <c r="AR5" s="456">
        <v>2250232</v>
      </c>
      <c r="AS5" s="450">
        <v>2554097</v>
      </c>
      <c r="AT5" s="450">
        <v>3996846</v>
      </c>
      <c r="AU5" s="431">
        <v>13028346</v>
      </c>
      <c r="AV5" s="431">
        <v>18351043</v>
      </c>
      <c r="AW5" s="808">
        <v>865710979</v>
      </c>
      <c r="AX5" s="450">
        <v>772528946</v>
      </c>
    </row>
    <row r="6" spans="1:50">
      <c r="A6" s="365" t="s">
        <v>199</v>
      </c>
      <c r="B6" s="438"/>
      <c r="C6" s="429">
        <v>-611619</v>
      </c>
      <c r="D6" s="784">
        <v>-718385</v>
      </c>
      <c r="E6" s="431">
        <v>-146076</v>
      </c>
      <c r="F6" s="431">
        <v>-167919</v>
      </c>
      <c r="G6" s="440">
        <v>-150140</v>
      </c>
      <c r="H6" s="431">
        <v>-162927</v>
      </c>
      <c r="I6" s="431">
        <v>-161936</v>
      </c>
      <c r="J6" s="431">
        <v>-216752</v>
      </c>
      <c r="K6" s="431">
        <v>-72602</v>
      </c>
      <c r="L6" s="431">
        <v>-74718</v>
      </c>
      <c r="M6" s="443">
        <v>-301941</v>
      </c>
      <c r="N6" s="443">
        <v>-496451</v>
      </c>
      <c r="O6" s="431">
        <v>-280827</v>
      </c>
      <c r="P6" s="431">
        <v>-5321</v>
      </c>
      <c r="Q6" s="446">
        <v>-105390</v>
      </c>
      <c r="R6" s="446">
        <v>-89832</v>
      </c>
      <c r="S6" s="1124">
        <v>-298794</v>
      </c>
      <c r="T6" s="431">
        <v>-290586</v>
      </c>
      <c r="U6" s="431">
        <v>-109086</v>
      </c>
      <c r="V6" s="431">
        <v>-89197</v>
      </c>
      <c r="W6" s="431">
        <v>-846059</v>
      </c>
      <c r="X6" s="431">
        <v>-1407242</v>
      </c>
      <c r="Y6" s="431">
        <v>-1211434</v>
      </c>
      <c r="Z6" s="431">
        <v>-1956453</v>
      </c>
      <c r="AA6" s="449">
        <v>-28164</v>
      </c>
      <c r="AB6" s="449">
        <v>-27635</v>
      </c>
      <c r="AC6" s="431">
        <v>-197080</v>
      </c>
      <c r="AD6" s="431">
        <v>-275987</v>
      </c>
      <c r="AE6" s="431">
        <v>-345615</v>
      </c>
      <c r="AF6" s="431">
        <v>-441974</v>
      </c>
      <c r="AG6" s="431">
        <v>-508977</v>
      </c>
      <c r="AH6" s="431">
        <v>-737471</v>
      </c>
      <c r="AI6" s="431">
        <v>-370563</v>
      </c>
      <c r="AJ6" s="431">
        <v>-515719</v>
      </c>
      <c r="AK6" s="431">
        <v>-48471</v>
      </c>
      <c r="AL6" s="431">
        <v>-48350</v>
      </c>
      <c r="AM6" s="452"/>
      <c r="AN6" s="452"/>
      <c r="AO6" s="453">
        <v>-394195</v>
      </c>
      <c r="AP6" s="453">
        <v>-553483</v>
      </c>
      <c r="AQ6" s="456">
        <v>-13105</v>
      </c>
      <c r="AR6" s="456">
        <v>-13336</v>
      </c>
      <c r="AS6" s="450">
        <v>-402629</v>
      </c>
      <c r="AT6" s="450">
        <v>-681105</v>
      </c>
      <c r="AU6" s="431">
        <v>-416706</v>
      </c>
      <c r="AV6" s="431">
        <v>-705559</v>
      </c>
      <c r="AW6" s="808">
        <v>-485572</v>
      </c>
      <c r="AX6" s="450">
        <v>-684771</v>
      </c>
    </row>
    <row r="7" spans="1:50">
      <c r="A7" s="365" t="s">
        <v>200</v>
      </c>
      <c r="B7" s="438"/>
      <c r="C7" s="429"/>
      <c r="D7" s="784"/>
      <c r="E7" s="431"/>
      <c r="F7" s="431"/>
      <c r="G7" s="440"/>
      <c r="H7" s="431"/>
      <c r="I7" s="431"/>
      <c r="J7" s="431"/>
      <c r="K7" s="431"/>
      <c r="L7" s="431"/>
      <c r="M7" s="443"/>
      <c r="N7" s="443"/>
      <c r="O7" s="431"/>
      <c r="P7" s="431"/>
      <c r="Q7" s="446"/>
      <c r="R7" s="446"/>
      <c r="S7" s="1124"/>
      <c r="T7" s="431"/>
      <c r="U7" s="431"/>
      <c r="V7" s="431"/>
      <c r="W7" s="431"/>
      <c r="X7" s="431"/>
      <c r="Y7" s="431"/>
      <c r="Z7" s="431"/>
      <c r="AA7" s="449"/>
      <c r="AB7" s="449"/>
      <c r="AC7" s="431"/>
      <c r="AD7" s="431"/>
      <c r="AE7" s="431"/>
      <c r="AF7" s="431"/>
      <c r="AG7" s="431"/>
      <c r="AH7" s="431"/>
      <c r="AI7" s="431"/>
      <c r="AJ7" s="431"/>
      <c r="AK7" s="431"/>
      <c r="AL7" s="431"/>
      <c r="AM7" s="452"/>
      <c r="AN7" s="452"/>
      <c r="AO7" s="418"/>
      <c r="AP7" s="418"/>
      <c r="AQ7" s="456"/>
      <c r="AR7" s="456"/>
      <c r="AS7" s="450"/>
      <c r="AT7" s="450"/>
      <c r="AU7" s="431"/>
      <c r="AV7" s="431"/>
      <c r="AW7" s="808"/>
      <c r="AX7" s="450"/>
    </row>
    <row r="8" spans="1:50">
      <c r="A8" s="433" t="s">
        <v>201</v>
      </c>
      <c r="B8" s="438"/>
      <c r="C8" s="429">
        <f>SUM(C5:C7)</f>
        <v>11995316</v>
      </c>
      <c r="D8" s="429">
        <v>16177587</v>
      </c>
      <c r="E8" s="431">
        <v>910913</v>
      </c>
      <c r="F8" s="431">
        <v>826378</v>
      </c>
      <c r="G8" s="440">
        <f>SUM(G5:G7)</f>
        <v>2055112</v>
      </c>
      <c r="H8" s="440">
        <v>1798352</v>
      </c>
      <c r="I8" s="431">
        <f>SUM(I5:I7)</f>
        <v>18205019</v>
      </c>
      <c r="J8" s="431">
        <v>16780050</v>
      </c>
      <c r="K8" s="431">
        <f>SUM(K5:K7)</f>
        <v>4074246</v>
      </c>
      <c r="L8" s="431">
        <v>3316750</v>
      </c>
      <c r="M8" s="431">
        <f t="shared" ref="M8:AU8" si="0">SUM(M5:M7)</f>
        <v>8220348</v>
      </c>
      <c r="N8" s="431">
        <v>8985177</v>
      </c>
      <c r="O8" s="431">
        <f t="shared" si="0"/>
        <v>2718964</v>
      </c>
      <c r="P8" s="431">
        <f>P5+P6</f>
        <v>1967743</v>
      </c>
      <c r="Q8" s="1124">
        <f t="shared" si="0"/>
        <v>1540704</v>
      </c>
      <c r="R8" s="431">
        <f>R5+R6</f>
        <v>1547194</v>
      </c>
      <c r="S8" s="1124">
        <f t="shared" si="0"/>
        <v>5424741</v>
      </c>
      <c r="T8" s="431">
        <f>T5+T6</f>
        <v>4802485</v>
      </c>
      <c r="U8" s="431">
        <f t="shared" si="0"/>
        <v>2237978</v>
      </c>
      <c r="V8" s="431">
        <f>V5+V6</f>
        <v>1304147</v>
      </c>
      <c r="W8" s="431">
        <f t="shared" si="0"/>
        <v>64511617</v>
      </c>
      <c r="X8" s="431">
        <f>X5+X6</f>
        <v>57218370</v>
      </c>
      <c r="Y8" s="431">
        <f t="shared" si="0"/>
        <v>62081348</v>
      </c>
      <c r="Z8" s="431">
        <f>Z5+Z6</f>
        <v>55510679</v>
      </c>
      <c r="AA8" s="431">
        <f t="shared" si="0"/>
        <v>2952942</v>
      </c>
      <c r="AB8" s="431">
        <f>AB5+AB6</f>
        <v>2344058</v>
      </c>
      <c r="AC8" s="431">
        <f t="shared" si="0"/>
        <v>6951246</v>
      </c>
      <c r="AD8" s="431">
        <f>AD5+AD6</f>
        <v>5366920</v>
      </c>
      <c r="AE8" s="431">
        <f t="shared" si="0"/>
        <v>16056890</v>
      </c>
      <c r="AF8" s="431">
        <f>AF5+AF6</f>
        <v>11623128</v>
      </c>
      <c r="AG8" s="431">
        <f t="shared" si="0"/>
        <v>25999186</v>
      </c>
      <c r="AH8" s="431">
        <f>AH5+AH6</f>
        <v>26774146</v>
      </c>
      <c r="AI8" s="431">
        <f t="shared" si="0"/>
        <v>8915502</v>
      </c>
      <c r="AJ8" s="431">
        <v>7720895</v>
      </c>
      <c r="AK8" s="431">
        <f t="shared" si="0"/>
        <v>8342565</v>
      </c>
      <c r="AL8" s="431">
        <f>AL5+AL6</f>
        <v>7672830</v>
      </c>
      <c r="AM8" s="431">
        <f t="shared" si="0"/>
        <v>0</v>
      </c>
      <c r="AN8" s="431">
        <f t="shared" si="0"/>
        <v>0</v>
      </c>
      <c r="AO8" s="431">
        <f t="shared" si="0"/>
        <v>66550183</v>
      </c>
      <c r="AP8" s="431">
        <f>AP5+AP6</f>
        <v>75880941</v>
      </c>
      <c r="AQ8" s="431">
        <f t="shared" si="0"/>
        <v>2874831</v>
      </c>
      <c r="AR8" s="431">
        <v>2250232</v>
      </c>
      <c r="AS8" s="431">
        <f t="shared" si="0"/>
        <v>2151468</v>
      </c>
      <c r="AT8" s="431">
        <f>3996846+AT6</f>
        <v>3315741</v>
      </c>
      <c r="AU8" s="431">
        <f t="shared" si="0"/>
        <v>12611640</v>
      </c>
      <c r="AV8" s="431">
        <f>AV5+AV6</f>
        <v>17645484</v>
      </c>
      <c r="AW8" s="808">
        <f>SUM(AW5:AW7)</f>
        <v>865225407</v>
      </c>
      <c r="AX8" s="450">
        <f>AX5+AX6</f>
        <v>771844175</v>
      </c>
    </row>
    <row r="9" spans="1:50" ht="17.25">
      <c r="A9" s="433" t="s">
        <v>202</v>
      </c>
      <c r="B9" s="438"/>
      <c r="C9" s="430"/>
      <c r="D9" s="785"/>
      <c r="E9" s="432"/>
      <c r="F9" s="432"/>
      <c r="G9" s="441"/>
      <c r="H9" s="432"/>
      <c r="I9" s="432"/>
      <c r="J9" s="432"/>
      <c r="K9" s="432"/>
      <c r="L9" s="432"/>
      <c r="M9" s="444"/>
      <c r="N9" s="444"/>
      <c r="O9" s="432"/>
      <c r="P9" s="432"/>
      <c r="Q9" s="447"/>
      <c r="R9" s="447"/>
      <c r="S9" s="1125"/>
      <c r="T9" s="432"/>
      <c r="U9" s="432"/>
      <c r="V9" s="432"/>
      <c r="W9" s="432"/>
      <c r="X9" s="432"/>
      <c r="Y9" s="432"/>
      <c r="Z9" s="432"/>
      <c r="AA9" s="449"/>
      <c r="AB9" s="449"/>
      <c r="AC9" s="432"/>
      <c r="AD9" s="432"/>
      <c r="AE9" s="451"/>
      <c r="AF9" s="451"/>
      <c r="AG9" s="432"/>
      <c r="AH9" s="432"/>
      <c r="AI9" s="432"/>
      <c r="AJ9" s="432"/>
      <c r="AK9" s="432"/>
      <c r="AL9" s="432"/>
      <c r="AM9" s="452"/>
      <c r="AN9" s="452"/>
      <c r="AO9" s="418"/>
      <c r="AP9" s="418"/>
      <c r="AQ9" s="456"/>
      <c r="AR9" s="456"/>
      <c r="AS9" s="450"/>
      <c r="AT9" s="450"/>
      <c r="AU9" s="432"/>
      <c r="AV9" s="432"/>
      <c r="AW9" s="441"/>
      <c r="AX9" s="432"/>
    </row>
    <row r="10" spans="1:50" ht="17.25">
      <c r="A10" s="365" t="s">
        <v>203</v>
      </c>
      <c r="B10" s="438"/>
      <c r="C10" s="429">
        <v>5764906</v>
      </c>
      <c r="D10" s="784">
        <v>5853950</v>
      </c>
      <c r="E10" s="431">
        <v>324054</v>
      </c>
      <c r="F10" s="431">
        <v>345015</v>
      </c>
      <c r="G10" s="440">
        <v>1413855</v>
      </c>
      <c r="H10" s="431">
        <v>1363897</v>
      </c>
      <c r="I10" s="431">
        <v>6007294</v>
      </c>
      <c r="J10" s="431">
        <v>6224619</v>
      </c>
      <c r="K10" s="431">
        <v>955053</v>
      </c>
      <c r="L10" s="431">
        <v>1189929</v>
      </c>
      <c r="M10" s="443">
        <v>1750622</v>
      </c>
      <c r="N10" s="443">
        <v>1874100</v>
      </c>
      <c r="O10" s="431">
        <v>678293</v>
      </c>
      <c r="P10" s="431">
        <v>747615</v>
      </c>
      <c r="Q10" s="446">
        <v>336413</v>
      </c>
      <c r="R10" s="446">
        <v>453902</v>
      </c>
      <c r="S10" s="1124">
        <v>2236737</v>
      </c>
      <c r="T10" s="431">
        <v>2505382</v>
      </c>
      <c r="U10" s="431">
        <v>644819</v>
      </c>
      <c r="V10" s="431">
        <v>703015</v>
      </c>
      <c r="W10" s="431">
        <v>15961002</v>
      </c>
      <c r="X10" s="431">
        <v>17784545</v>
      </c>
      <c r="Y10" s="431">
        <v>14779264</v>
      </c>
      <c r="Z10" s="431">
        <v>14476140</v>
      </c>
      <c r="AA10" s="431">
        <v>1339318</v>
      </c>
      <c r="AB10" s="431">
        <v>1469360</v>
      </c>
      <c r="AC10" s="431">
        <v>1899254</v>
      </c>
      <c r="AD10" s="431">
        <v>2121132</v>
      </c>
      <c r="AE10" s="431">
        <v>4145822</v>
      </c>
      <c r="AF10" s="431">
        <f>4841716-38985</f>
        <v>4802731</v>
      </c>
      <c r="AG10" s="431">
        <v>8930313</v>
      </c>
      <c r="AH10" s="431">
        <v>10079861</v>
      </c>
      <c r="AI10" s="431">
        <v>3194297</v>
      </c>
      <c r="AJ10" s="431">
        <v>3440597</v>
      </c>
      <c r="AK10" s="431">
        <v>2847258</v>
      </c>
      <c r="AL10" s="431">
        <v>2915352</v>
      </c>
      <c r="AM10" s="452"/>
      <c r="AN10" s="452"/>
      <c r="AO10" s="453">
        <v>20347573</v>
      </c>
      <c r="AP10" s="453">
        <v>22581733</v>
      </c>
      <c r="AQ10" s="456">
        <v>623136</v>
      </c>
      <c r="AR10" s="456">
        <v>719868</v>
      </c>
      <c r="AS10" s="450">
        <v>1318076</v>
      </c>
      <c r="AT10" s="450">
        <v>1342274</v>
      </c>
      <c r="AU10" s="432">
        <v>3541226</v>
      </c>
      <c r="AV10" s="432">
        <v>3561186</v>
      </c>
      <c r="AW10" s="808">
        <v>517241688</v>
      </c>
      <c r="AX10" s="450">
        <v>540337770</v>
      </c>
    </row>
    <row r="11" spans="1:50">
      <c r="A11" s="365" t="s">
        <v>204</v>
      </c>
      <c r="B11" s="438"/>
      <c r="C11" s="429">
        <v>3060256</v>
      </c>
      <c r="D11" s="784">
        <v>2647788</v>
      </c>
      <c r="E11" s="431">
        <v>236355</v>
      </c>
      <c r="F11" s="431">
        <v>195109</v>
      </c>
      <c r="G11" s="440">
        <v>929597</v>
      </c>
      <c r="H11" s="431">
        <v>357359</v>
      </c>
      <c r="I11" s="431">
        <v>4894952</v>
      </c>
      <c r="J11" s="431">
        <v>5390489</v>
      </c>
      <c r="K11" s="431">
        <v>569641</v>
      </c>
      <c r="L11" s="431">
        <v>330587</v>
      </c>
      <c r="M11" s="443">
        <v>1891796</v>
      </c>
      <c r="N11" s="443">
        <v>1724735</v>
      </c>
      <c r="O11" s="431">
        <v>290107</v>
      </c>
      <c r="P11" s="431">
        <v>362374</v>
      </c>
      <c r="Q11" s="446">
        <v>333477</v>
      </c>
      <c r="R11" s="446">
        <v>368629</v>
      </c>
      <c r="S11" s="1124">
        <v>594764</v>
      </c>
      <c r="T11" s="431">
        <v>367138</v>
      </c>
      <c r="U11" s="431">
        <v>121305</v>
      </c>
      <c r="V11" s="431">
        <v>381335</v>
      </c>
      <c r="W11" s="431">
        <v>11358547</v>
      </c>
      <c r="X11" s="431">
        <v>11604307</v>
      </c>
      <c r="Y11" s="431">
        <v>16113780</v>
      </c>
      <c r="Z11" s="431">
        <v>16297067</v>
      </c>
      <c r="AA11" s="431">
        <v>783184</v>
      </c>
      <c r="AB11" s="431">
        <v>181855</v>
      </c>
      <c r="AC11" s="431">
        <v>608337</v>
      </c>
      <c r="AD11" s="431">
        <v>770480</v>
      </c>
      <c r="AE11" s="431">
        <v>3919763</v>
      </c>
      <c r="AF11" s="431">
        <v>3188826</v>
      </c>
      <c r="AG11" s="431">
        <v>5592105</v>
      </c>
      <c r="AH11" s="431">
        <v>4935386</v>
      </c>
      <c r="AI11" s="431">
        <v>1921657</v>
      </c>
      <c r="AJ11" s="431">
        <v>937694</v>
      </c>
      <c r="AK11" s="431">
        <v>2582951</v>
      </c>
      <c r="AL11" s="431">
        <v>1256715</v>
      </c>
      <c r="AM11" s="452"/>
      <c r="AN11" s="452"/>
      <c r="AO11" s="453">
        <v>13508742</v>
      </c>
      <c r="AP11" s="453">
        <v>11501934</v>
      </c>
      <c r="AQ11" s="456">
        <v>114873</v>
      </c>
      <c r="AR11" s="456">
        <v>446595</v>
      </c>
      <c r="AS11" s="450">
        <v>1331829</v>
      </c>
      <c r="AT11" s="450">
        <v>1180219</v>
      </c>
      <c r="AU11" s="431">
        <v>1752161</v>
      </c>
      <c r="AV11" s="431">
        <v>2612695</v>
      </c>
      <c r="AW11" s="808">
        <v>78468137</v>
      </c>
      <c r="AX11" s="450">
        <v>43195603</v>
      </c>
    </row>
    <row r="12" spans="1:50">
      <c r="A12" s="365" t="s">
        <v>205</v>
      </c>
      <c r="B12" s="438"/>
      <c r="C12" s="429">
        <v>-649919</v>
      </c>
      <c r="D12" s="784">
        <v>-3190309</v>
      </c>
      <c r="E12" s="431">
        <v>-52934</v>
      </c>
      <c r="F12" s="431">
        <v>-298694</v>
      </c>
      <c r="G12" s="440">
        <v>-243403</v>
      </c>
      <c r="H12" s="431">
        <v>-1573558</v>
      </c>
      <c r="I12" s="431">
        <v>-1367038</v>
      </c>
      <c r="J12" s="431">
        <v>-5618160</v>
      </c>
      <c r="K12" s="431">
        <v>-96024</v>
      </c>
      <c r="L12" s="431">
        <v>-284940</v>
      </c>
      <c r="M12" s="443">
        <v>-632306</v>
      </c>
      <c r="N12" s="443">
        <v>-4770335</v>
      </c>
      <c r="O12" s="431">
        <v>-20401</v>
      </c>
      <c r="P12" s="431">
        <v>-55774</v>
      </c>
      <c r="Q12" s="446">
        <v>-78661</v>
      </c>
      <c r="R12" s="446">
        <v>-269082</v>
      </c>
      <c r="S12" s="1124">
        <v>-195987</v>
      </c>
      <c r="T12" s="431">
        <v>-280794</v>
      </c>
      <c r="U12" s="431">
        <v>-38680</v>
      </c>
      <c r="V12" s="431">
        <v>-196394</v>
      </c>
      <c r="W12" s="431">
        <v>-1760985</v>
      </c>
      <c r="X12" s="431">
        <v>-10016383</v>
      </c>
      <c r="Y12" s="431">
        <v>-6560593</v>
      </c>
      <c r="Z12" s="431">
        <v>-35208604</v>
      </c>
      <c r="AA12" s="431">
        <v>-293759</v>
      </c>
      <c r="AB12" s="431">
        <v>-1357351</v>
      </c>
      <c r="AC12" s="431">
        <v>-430650</v>
      </c>
      <c r="AD12" s="431">
        <v>-960198</v>
      </c>
      <c r="AE12" s="431">
        <v>-775202</v>
      </c>
      <c r="AF12" s="431">
        <v>-2705504</v>
      </c>
      <c r="AG12" s="431">
        <v>-1219495</v>
      </c>
      <c r="AH12" s="431">
        <v>-6296965</v>
      </c>
      <c r="AI12" s="431">
        <v>-259020</v>
      </c>
      <c r="AJ12" s="431">
        <v>-1009744</v>
      </c>
      <c r="AK12" s="431">
        <v>-447369</v>
      </c>
      <c r="AL12" s="431">
        <v>-1353085</v>
      </c>
      <c r="AM12" s="452"/>
      <c r="AN12" s="452"/>
      <c r="AO12" s="453">
        <v>-4779282</v>
      </c>
      <c r="AP12" s="453">
        <v>-11537289</v>
      </c>
      <c r="AQ12" s="456">
        <v>-340526</v>
      </c>
      <c r="AR12" s="456">
        <v>-251997</v>
      </c>
      <c r="AS12" s="450">
        <v>-132978</v>
      </c>
      <c r="AT12" s="450">
        <v>-945949</v>
      </c>
      <c r="AU12" s="431">
        <v>-374787</v>
      </c>
      <c r="AV12" s="431">
        <v>-1405136</v>
      </c>
      <c r="AW12" s="808">
        <v>-74608927</v>
      </c>
      <c r="AX12" s="450">
        <v>-4019124</v>
      </c>
    </row>
    <row r="13" spans="1:50">
      <c r="A13" s="365" t="s">
        <v>206</v>
      </c>
      <c r="B13" s="438"/>
      <c r="C13" s="429">
        <v>549894</v>
      </c>
      <c r="D13" s="784">
        <v>18987488</v>
      </c>
      <c r="E13" s="431">
        <v>-89221</v>
      </c>
      <c r="F13" s="431">
        <v>1051695</v>
      </c>
      <c r="G13" s="440">
        <v>-557358</v>
      </c>
      <c r="H13" s="431">
        <v>4071729</v>
      </c>
      <c r="I13" s="431">
        <v>-3577284</v>
      </c>
      <c r="J13" s="431">
        <v>25701007</v>
      </c>
      <c r="K13" s="431">
        <v>-125157</v>
      </c>
      <c r="L13" s="431">
        <v>1266047</v>
      </c>
      <c r="M13" s="443">
        <v>-210874</v>
      </c>
      <c r="N13" s="443">
        <v>11938878</v>
      </c>
      <c r="O13" s="431">
        <v>22760</v>
      </c>
      <c r="P13" s="431">
        <v>331185</v>
      </c>
      <c r="Q13" s="446">
        <v>-23693</v>
      </c>
      <c r="R13" s="446">
        <v>1102767</v>
      </c>
      <c r="S13" s="1124">
        <v>6040</v>
      </c>
      <c r="T13" s="431">
        <v>1688697</v>
      </c>
      <c r="U13" s="431">
        <v>-34957</v>
      </c>
      <c r="V13" s="431">
        <v>506815</v>
      </c>
      <c r="W13" s="431">
        <v>-5041801</v>
      </c>
      <c r="X13" s="431">
        <v>68118562</v>
      </c>
      <c r="Y13" s="431">
        <v>-6462173</v>
      </c>
      <c r="Z13" s="431">
        <v>133455794</v>
      </c>
      <c r="AA13" s="431">
        <v>-468335</v>
      </c>
      <c r="AB13" s="431">
        <v>3318253</v>
      </c>
      <c r="AC13" s="431">
        <v>174506</v>
      </c>
      <c r="AD13" s="431">
        <v>4696573</v>
      </c>
      <c r="AE13" s="431">
        <v>-633664</v>
      </c>
      <c r="AF13" s="431">
        <v>13345091</v>
      </c>
      <c r="AG13" s="431">
        <v>-602973</v>
      </c>
      <c r="AH13" s="431">
        <v>18953842</v>
      </c>
      <c r="AI13" s="431">
        <v>-933578</v>
      </c>
      <c r="AJ13" s="431">
        <v>5795369</v>
      </c>
      <c r="AK13" s="431">
        <v>-979525</v>
      </c>
      <c r="AL13" s="431">
        <v>5248140</v>
      </c>
      <c r="AM13" s="452"/>
      <c r="AN13" s="452"/>
      <c r="AO13" s="453">
        <v>-370947</v>
      </c>
      <c r="AP13" s="453">
        <v>63281583</v>
      </c>
      <c r="AQ13" s="456"/>
      <c r="AR13" s="456"/>
      <c r="AS13" s="450"/>
      <c r="AT13" s="450"/>
      <c r="AU13" s="431">
        <v>2135734</v>
      </c>
      <c r="AV13" s="431">
        <v>15122213</v>
      </c>
      <c r="AW13" s="808">
        <v>62511564</v>
      </c>
      <c r="AX13" s="450">
        <v>25127878</v>
      </c>
    </row>
    <row r="14" spans="1:50" ht="17.25">
      <c r="A14" s="365" t="s">
        <v>207</v>
      </c>
      <c r="B14" s="438"/>
      <c r="C14" s="430"/>
      <c r="D14" s="785"/>
      <c r="E14" s="432">
        <v>35341</v>
      </c>
      <c r="F14" s="432">
        <v>43306</v>
      </c>
      <c r="G14" s="441"/>
      <c r="H14" s="432"/>
      <c r="I14" s="432">
        <v>720650</v>
      </c>
      <c r="J14" s="432">
        <v>241341</v>
      </c>
      <c r="K14" s="432"/>
      <c r="L14" s="432"/>
      <c r="M14" s="444"/>
      <c r="N14" s="444"/>
      <c r="O14" s="432">
        <v>-11864</v>
      </c>
      <c r="P14" s="432">
        <v>-22117</v>
      </c>
      <c r="Q14" s="447">
        <v>15024</v>
      </c>
      <c r="R14" s="447"/>
      <c r="S14" s="1125"/>
      <c r="T14" s="432"/>
      <c r="U14" s="432"/>
      <c r="V14" s="432"/>
      <c r="W14" s="432">
        <v>-3004</v>
      </c>
      <c r="X14" s="432"/>
      <c r="Y14" s="432">
        <v>2045207</v>
      </c>
      <c r="Z14" s="432">
        <v>1651415</v>
      </c>
      <c r="AA14" s="449">
        <v>73063</v>
      </c>
      <c r="AB14" s="449">
        <v>47845</v>
      </c>
      <c r="AC14" s="432">
        <v>315606</v>
      </c>
      <c r="AD14" s="432">
        <v>-8424</v>
      </c>
      <c r="AE14" s="451"/>
      <c r="AF14" s="451"/>
      <c r="AG14" s="432">
        <v>121242</v>
      </c>
      <c r="AH14" s="432"/>
      <c r="AI14" s="432"/>
      <c r="AJ14" s="432">
        <v>67670</v>
      </c>
      <c r="AK14" s="432">
        <v>268484</v>
      </c>
      <c r="AL14" s="432">
        <v>111238</v>
      </c>
      <c r="AM14" s="452"/>
      <c r="AN14" s="452"/>
      <c r="AO14" s="453">
        <v>1066582</v>
      </c>
      <c r="AP14" s="453"/>
      <c r="AQ14" s="456">
        <v>-843</v>
      </c>
      <c r="AR14" s="456">
        <v>-13832</v>
      </c>
      <c r="AS14" s="450"/>
      <c r="AT14" s="450"/>
      <c r="AU14" s="432"/>
      <c r="AV14" s="432">
        <v>441604</v>
      </c>
      <c r="AW14" s="441"/>
      <c r="AX14" s="432"/>
    </row>
    <row r="15" spans="1:50" ht="17.25">
      <c r="A15" s="365" t="s">
        <v>275</v>
      </c>
      <c r="B15" s="438"/>
      <c r="C15" s="430"/>
      <c r="D15" s="785"/>
      <c r="E15" s="432"/>
      <c r="F15" s="432"/>
      <c r="G15" s="441"/>
      <c r="H15" s="432"/>
      <c r="I15" s="432"/>
      <c r="J15" s="432"/>
      <c r="K15" s="432"/>
      <c r="L15" s="432"/>
      <c r="M15" s="444"/>
      <c r="N15" s="444"/>
      <c r="O15" s="432"/>
      <c r="P15" s="432"/>
      <c r="Q15" s="447"/>
      <c r="R15" s="447"/>
      <c r="S15" s="1125"/>
      <c r="T15" s="432"/>
      <c r="U15" s="432"/>
      <c r="V15" s="432"/>
      <c r="W15" s="432"/>
      <c r="X15" s="432"/>
      <c r="Y15" s="432"/>
      <c r="Z15" s="432"/>
      <c r="AA15" s="449"/>
      <c r="AB15" s="449"/>
      <c r="AC15" s="432"/>
      <c r="AD15" s="432"/>
      <c r="AE15" s="451"/>
      <c r="AF15" s="451"/>
      <c r="AG15" s="432"/>
      <c r="AH15" s="432"/>
      <c r="AI15" s="432"/>
      <c r="AJ15" s="432"/>
      <c r="AK15" s="432"/>
      <c r="AL15" s="432"/>
      <c r="AM15" s="452"/>
      <c r="AN15" s="452"/>
      <c r="AO15" s="453"/>
      <c r="AP15" s="453"/>
      <c r="AQ15" s="456">
        <v>-23332</v>
      </c>
      <c r="AR15" s="456">
        <v>411891</v>
      </c>
      <c r="AS15" s="450">
        <v>-581773</v>
      </c>
      <c r="AT15" s="450">
        <v>2738600</v>
      </c>
      <c r="AU15" s="432"/>
      <c r="AV15" s="432"/>
      <c r="AW15" s="441"/>
      <c r="AX15" s="432"/>
    </row>
    <row r="16" spans="1:50">
      <c r="A16" s="433" t="s">
        <v>208</v>
      </c>
      <c r="B16" s="438"/>
      <c r="C16" s="429"/>
      <c r="D16" s="784"/>
      <c r="E16" s="431"/>
      <c r="F16" s="431"/>
      <c r="G16" s="440"/>
      <c r="H16" s="431"/>
      <c r="I16" s="431"/>
      <c r="J16" s="431"/>
      <c r="K16" s="431"/>
      <c r="L16" s="431"/>
      <c r="M16" s="443"/>
      <c r="N16" s="443"/>
      <c r="O16" s="431"/>
      <c r="P16" s="431"/>
      <c r="Q16" s="446"/>
      <c r="R16" s="446"/>
      <c r="S16" s="1124"/>
      <c r="T16" s="431"/>
      <c r="U16" s="431"/>
      <c r="V16" s="431"/>
      <c r="W16" s="431"/>
      <c r="X16" s="431"/>
      <c r="Y16" s="431"/>
      <c r="Z16" s="431"/>
      <c r="AA16" s="449"/>
      <c r="AB16" s="449"/>
      <c r="AC16" s="431"/>
      <c r="AD16" s="431"/>
      <c r="AE16" s="431"/>
      <c r="AF16" s="431"/>
      <c r="AG16" s="431"/>
      <c r="AH16" s="431"/>
      <c r="AI16" s="431"/>
      <c r="AJ16" s="431"/>
      <c r="AK16" s="431"/>
      <c r="AL16" s="431"/>
      <c r="AM16" s="452"/>
      <c r="AN16" s="452"/>
      <c r="AO16" s="418"/>
      <c r="AP16" s="418"/>
      <c r="AQ16" s="456"/>
      <c r="AR16" s="456"/>
      <c r="AS16" s="450"/>
      <c r="AT16" s="450"/>
      <c r="AU16" s="431"/>
      <c r="AV16" s="431"/>
      <c r="AW16" s="440"/>
      <c r="AX16" s="431"/>
    </row>
    <row r="17" spans="1:50">
      <c r="A17" s="365" t="s">
        <v>209</v>
      </c>
      <c r="B17" s="438"/>
      <c r="C17" s="429">
        <v>643403</v>
      </c>
      <c r="D17" s="784">
        <v>818074</v>
      </c>
      <c r="E17" s="431"/>
      <c r="F17" s="431"/>
      <c r="G17" s="440">
        <f>104935+3063</f>
        <v>107998</v>
      </c>
      <c r="H17" s="431">
        <v>366706</v>
      </c>
      <c r="I17" s="431">
        <v>352830</v>
      </c>
      <c r="J17" s="431">
        <v>1743913</v>
      </c>
      <c r="K17" s="431"/>
      <c r="L17" s="431"/>
      <c r="M17" s="443">
        <v>6075</v>
      </c>
      <c r="N17" s="443">
        <v>744379</v>
      </c>
      <c r="O17" s="431">
        <v>52068</v>
      </c>
      <c r="P17" s="431">
        <f>148822+6761</f>
        <v>155583</v>
      </c>
      <c r="Q17" s="446">
        <v>145350</v>
      </c>
      <c r="R17" s="446">
        <v>799408</v>
      </c>
      <c r="S17" s="1124">
        <v>785478</v>
      </c>
      <c r="T17" s="431">
        <v>685682</v>
      </c>
      <c r="U17" s="431">
        <v>602937</v>
      </c>
      <c r="V17" s="431">
        <v>119879</v>
      </c>
      <c r="W17" s="431">
        <v>93629</v>
      </c>
      <c r="X17" s="431">
        <v>75546</v>
      </c>
      <c r="Y17" s="431">
        <v>2159230</v>
      </c>
      <c r="Z17" s="431">
        <v>4163355</v>
      </c>
      <c r="AA17" s="449"/>
      <c r="AB17" s="449"/>
      <c r="AC17" s="431">
        <v>278711</v>
      </c>
      <c r="AD17" s="431">
        <v>271215</v>
      </c>
      <c r="AE17" s="431"/>
      <c r="AF17" s="431">
        <v>8153</v>
      </c>
      <c r="AG17" s="431">
        <v>261282</v>
      </c>
      <c r="AH17" s="431"/>
      <c r="AI17" s="431">
        <v>34934</v>
      </c>
      <c r="AJ17" s="431">
        <v>105899</v>
      </c>
      <c r="AK17" s="431">
        <v>87716</v>
      </c>
      <c r="AL17" s="431">
        <v>294101</v>
      </c>
      <c r="AM17" s="452"/>
      <c r="AN17" s="452"/>
      <c r="AO17" s="418"/>
      <c r="AP17" s="418"/>
      <c r="AQ17" s="456">
        <v>323</v>
      </c>
      <c r="AR17" s="456">
        <v>2140</v>
      </c>
      <c r="AS17" s="450"/>
      <c r="AT17" s="450"/>
      <c r="AU17" s="431">
        <v>834881</v>
      </c>
      <c r="AV17" s="431">
        <v>951238</v>
      </c>
      <c r="AW17" s="440">
        <f>16033+9296442</f>
        <v>9312475</v>
      </c>
      <c r="AX17" s="431">
        <f>-8361+1244048</f>
        <v>1235687</v>
      </c>
    </row>
    <row r="18" spans="1:50">
      <c r="A18" s="365" t="s">
        <v>210</v>
      </c>
      <c r="B18" s="438"/>
      <c r="C18" s="429"/>
      <c r="D18" s="784"/>
      <c r="E18" s="431"/>
      <c r="F18" s="431"/>
      <c r="G18" s="440"/>
      <c r="H18" s="431"/>
      <c r="I18" s="431">
        <v>42178</v>
      </c>
      <c r="J18" s="431">
        <v>47615</v>
      </c>
      <c r="K18" s="431"/>
      <c r="L18" s="431"/>
      <c r="M18" s="443"/>
      <c r="N18" s="443"/>
      <c r="O18" s="431"/>
      <c r="P18" s="431"/>
      <c r="Q18" s="446">
        <v>368</v>
      </c>
      <c r="R18" s="446">
        <v>259</v>
      </c>
      <c r="S18" s="1124">
        <v>11166</v>
      </c>
      <c r="T18" s="431"/>
      <c r="U18" s="431"/>
      <c r="V18" s="431"/>
      <c r="W18" s="431">
        <v>228641</v>
      </c>
      <c r="X18" s="431">
        <v>304453</v>
      </c>
      <c r="Y18" s="431">
        <v>80587</v>
      </c>
      <c r="Z18" s="431">
        <v>127979</v>
      </c>
      <c r="AA18" s="449"/>
      <c r="AB18" s="449"/>
      <c r="AC18" s="431"/>
      <c r="AD18" s="431"/>
      <c r="AE18" s="431">
        <v>4101</v>
      </c>
      <c r="AF18" s="431">
        <v>3540</v>
      </c>
      <c r="AG18" s="431"/>
      <c r="AH18" s="431"/>
      <c r="AI18" s="431"/>
      <c r="AJ18" s="431"/>
      <c r="AK18" s="431"/>
      <c r="AL18" s="431"/>
      <c r="AM18" s="452"/>
      <c r="AN18" s="452"/>
      <c r="AO18" s="453">
        <v>54219</v>
      </c>
      <c r="AP18" s="453">
        <v>30495</v>
      </c>
      <c r="AQ18" s="456"/>
      <c r="AR18" s="456"/>
      <c r="AS18" s="450"/>
      <c r="AT18" s="450"/>
      <c r="AU18" s="431"/>
      <c r="AV18" s="431"/>
      <c r="AW18" s="440"/>
      <c r="AX18" s="431"/>
    </row>
    <row r="19" spans="1:50">
      <c r="A19" s="365" t="s">
        <v>211</v>
      </c>
      <c r="B19" s="438"/>
      <c r="C19" s="429">
        <v>123443</v>
      </c>
      <c r="D19" s="784">
        <v>111973</v>
      </c>
      <c r="E19" s="431">
        <f>177+90</f>
        <v>267</v>
      </c>
      <c r="F19" s="431">
        <v>492</v>
      </c>
      <c r="G19" s="440">
        <v>7568</v>
      </c>
      <c r="H19" s="431">
        <f>6159+4097</f>
        <v>10256</v>
      </c>
      <c r="I19" s="431">
        <v>111715</v>
      </c>
      <c r="J19" s="431">
        <v>80137</v>
      </c>
      <c r="K19" s="431">
        <f>4547+324</f>
        <v>4871</v>
      </c>
      <c r="L19" s="431">
        <f>5872+18183</f>
        <v>24055</v>
      </c>
      <c r="M19" s="443">
        <v>18865</v>
      </c>
      <c r="N19" s="443">
        <v>5201</v>
      </c>
      <c r="O19" s="431">
        <v>4397</v>
      </c>
      <c r="P19" s="431">
        <v>7503</v>
      </c>
      <c r="Q19" s="446">
        <v>1573</v>
      </c>
      <c r="R19" s="446">
        <v>3312</v>
      </c>
      <c r="S19" s="1124"/>
      <c r="T19" s="431">
        <v>18458</v>
      </c>
      <c r="U19" s="431">
        <f>5689-324</f>
        <v>5365</v>
      </c>
      <c r="V19" s="431">
        <v>5007</v>
      </c>
      <c r="W19" s="431"/>
      <c r="X19" s="431"/>
      <c r="Y19" s="431">
        <f>79672+4586</f>
        <v>84258</v>
      </c>
      <c r="Z19" s="431">
        <f>97379+2934</f>
        <v>100313</v>
      </c>
      <c r="AA19" s="449">
        <v>812</v>
      </c>
      <c r="AB19" s="449">
        <v>15</v>
      </c>
      <c r="AC19" s="431">
        <v>4827</v>
      </c>
      <c r="AD19" s="431">
        <v>7132</v>
      </c>
      <c r="AE19" s="431">
        <f>1811+480</f>
        <v>2291</v>
      </c>
      <c r="AF19" s="431">
        <f>3822+19</f>
        <v>3841</v>
      </c>
      <c r="AG19" s="431">
        <v>100167</v>
      </c>
      <c r="AH19" s="431">
        <v>109546</v>
      </c>
      <c r="AI19" s="431">
        <f>14058+42128+118</f>
        <v>56304</v>
      </c>
      <c r="AJ19" s="431">
        <f>15664+23060-9</f>
        <v>38715</v>
      </c>
      <c r="AK19" s="431">
        <v>38597</v>
      </c>
      <c r="AL19" s="431">
        <v>16225</v>
      </c>
      <c r="AM19" s="452"/>
      <c r="AN19" s="452"/>
      <c r="AO19" s="453">
        <v>57993</v>
      </c>
      <c r="AP19" s="453">
        <v>41072</v>
      </c>
      <c r="AQ19" s="456">
        <v>18330</v>
      </c>
      <c r="AR19" s="456">
        <f>10591+107+11236</f>
        <v>21934</v>
      </c>
      <c r="AS19" s="450">
        <v>9649</v>
      </c>
      <c r="AT19" s="450">
        <v>5438</v>
      </c>
      <c r="AU19" s="431">
        <f>9250+83592+467-202+94087</f>
        <v>187194</v>
      </c>
      <c r="AV19" s="431">
        <f>86286+9938+93995-472+134</f>
        <v>189881</v>
      </c>
      <c r="AW19" s="440"/>
      <c r="AX19" s="431"/>
    </row>
    <row r="20" spans="1:50" ht="17.25">
      <c r="A20" s="433" t="s">
        <v>201</v>
      </c>
      <c r="B20" s="438"/>
      <c r="C20" s="430"/>
      <c r="D20" s="785"/>
      <c r="E20" s="432"/>
      <c r="F20" s="432"/>
      <c r="G20" s="441"/>
      <c r="H20" s="432"/>
      <c r="I20" s="432"/>
      <c r="J20" s="432"/>
      <c r="K20" s="432"/>
      <c r="L20" s="432"/>
      <c r="M20" s="444"/>
      <c r="N20" s="444"/>
      <c r="O20" s="432"/>
      <c r="P20" s="432"/>
      <c r="Q20" s="447"/>
      <c r="R20" s="447"/>
      <c r="S20" s="1125"/>
      <c r="T20" s="432"/>
      <c r="U20" s="432"/>
      <c r="V20" s="432"/>
      <c r="W20" s="432"/>
      <c r="X20" s="432"/>
      <c r="Y20" s="432"/>
      <c r="Z20" s="432"/>
      <c r="AA20" s="449"/>
      <c r="AB20" s="449"/>
      <c r="AC20" s="432"/>
      <c r="AD20" s="432"/>
      <c r="AE20" s="451"/>
      <c r="AF20" s="451"/>
      <c r="AG20" s="432"/>
      <c r="AH20" s="432"/>
      <c r="AI20" s="432"/>
      <c r="AJ20" s="432"/>
      <c r="AK20" s="432"/>
      <c r="AL20" s="432"/>
      <c r="AM20" s="452"/>
      <c r="AN20" s="452"/>
      <c r="AO20" s="454"/>
      <c r="AP20" s="454"/>
      <c r="AQ20" s="456"/>
      <c r="AR20" s="456"/>
      <c r="AS20" s="450"/>
      <c r="AT20" s="450"/>
      <c r="AU20" s="432"/>
      <c r="AV20" s="432"/>
      <c r="AW20" s="441"/>
      <c r="AX20" s="432"/>
    </row>
    <row r="21" spans="1:50" s="889" customFormat="1" ht="18">
      <c r="A21" s="877" t="s">
        <v>20</v>
      </c>
      <c r="B21" s="878"/>
      <c r="C21" s="879">
        <v>21487299</v>
      </c>
      <c r="D21" s="880">
        <v>41406551</v>
      </c>
      <c r="E21" s="881">
        <v>1365175</v>
      </c>
      <c r="F21" s="881">
        <v>2411019</v>
      </c>
      <c r="G21" s="882">
        <v>3713370</v>
      </c>
      <c r="H21" s="881">
        <v>6394741</v>
      </c>
      <c r="I21" s="881">
        <v>25390316</v>
      </c>
      <c r="J21" s="881">
        <v>50591011</v>
      </c>
      <c r="K21" s="881">
        <v>5382630</v>
      </c>
      <c r="L21" s="881">
        <v>5842428</v>
      </c>
      <c r="M21" s="883">
        <v>11044526</v>
      </c>
      <c r="N21" s="883">
        <v>20502135</v>
      </c>
      <c r="O21" s="881">
        <v>3734324</v>
      </c>
      <c r="P21" s="881">
        <v>3315462</v>
      </c>
      <c r="Q21" s="884">
        <v>2270555</v>
      </c>
      <c r="R21" s="884">
        <v>4006390</v>
      </c>
      <c r="S21" s="1126">
        <v>8862938</v>
      </c>
      <c r="T21" s="881">
        <v>9787048</v>
      </c>
      <c r="U21" s="881">
        <v>3538767</v>
      </c>
      <c r="V21" s="881">
        <v>2823804</v>
      </c>
      <c r="W21" s="881">
        <v>85347646</v>
      </c>
      <c r="X21" s="881">
        <v>145089400</v>
      </c>
      <c r="Y21" s="881">
        <v>84320908</v>
      </c>
      <c r="Z21" s="881">
        <v>190574138</v>
      </c>
      <c r="AA21" s="902">
        <v>4387225</v>
      </c>
      <c r="AB21" s="902">
        <v>8004036</v>
      </c>
      <c r="AC21" s="881">
        <v>9801838</v>
      </c>
      <c r="AD21" s="881">
        <v>12264831</v>
      </c>
      <c r="AE21" s="881">
        <v>22750306</v>
      </c>
      <c r="AF21" s="881">
        <v>30269806</v>
      </c>
      <c r="AG21" s="881">
        <v>39181804</v>
      </c>
      <c r="AH21" s="881">
        <v>54555816</v>
      </c>
      <c r="AI21" s="881">
        <v>12930096</v>
      </c>
      <c r="AJ21" s="881">
        <v>16581376</v>
      </c>
      <c r="AK21" s="881">
        <v>12740677</v>
      </c>
      <c r="AL21" s="881">
        <v>16161516</v>
      </c>
      <c r="AM21" s="886"/>
      <c r="AN21" s="886"/>
      <c r="AO21" s="887">
        <v>96435062</v>
      </c>
      <c r="AP21" s="887">
        <v>181780489</v>
      </c>
      <c r="AQ21" s="888">
        <v>3266793</v>
      </c>
      <c r="AR21" s="888">
        <v>3573495</v>
      </c>
      <c r="AS21" s="885">
        <v>4996271</v>
      </c>
      <c r="AT21" s="885">
        <v>7636323</v>
      </c>
      <c r="AU21" s="881">
        <v>20688049</v>
      </c>
      <c r="AV21" s="881">
        <v>39119165</v>
      </c>
      <c r="AW21" s="903">
        <v>1458118281</v>
      </c>
      <c r="AX21" s="904">
        <v>1377721989</v>
      </c>
    </row>
    <row r="22" spans="1:50">
      <c r="A22" s="365" t="s">
        <v>60</v>
      </c>
      <c r="B22" s="433" t="s">
        <v>212</v>
      </c>
      <c r="C22" s="429">
        <v>793235</v>
      </c>
      <c r="D22" s="784">
        <v>809919</v>
      </c>
      <c r="E22" s="431">
        <v>8551</v>
      </c>
      <c r="F22" s="431">
        <v>12310</v>
      </c>
      <c r="G22" s="440">
        <v>35960</v>
      </c>
      <c r="H22" s="431">
        <v>40365</v>
      </c>
      <c r="I22" s="431">
        <v>567718</v>
      </c>
      <c r="J22" s="431">
        <v>736500</v>
      </c>
      <c r="K22" s="431">
        <v>358080</v>
      </c>
      <c r="L22" s="431">
        <v>307587</v>
      </c>
      <c r="M22" s="443">
        <v>316372</v>
      </c>
      <c r="N22" s="443">
        <v>294934</v>
      </c>
      <c r="O22" s="431">
        <v>90936</v>
      </c>
      <c r="P22" s="431">
        <v>55670</v>
      </c>
      <c r="Q22" s="446">
        <v>96973</v>
      </c>
      <c r="R22" s="446">
        <v>122046</v>
      </c>
      <c r="S22" s="1124">
        <v>317521</v>
      </c>
      <c r="T22" s="431">
        <v>335484</v>
      </c>
      <c r="U22" s="431">
        <v>71677</v>
      </c>
      <c r="V22" s="431">
        <v>47051</v>
      </c>
      <c r="W22" s="431">
        <v>3222273</v>
      </c>
      <c r="X22" s="431">
        <v>2399332</v>
      </c>
      <c r="Y22" s="431">
        <v>2648383</v>
      </c>
      <c r="Z22" s="431">
        <v>2067396</v>
      </c>
      <c r="AA22" s="449">
        <v>137060</v>
      </c>
      <c r="AB22" s="449">
        <v>60731</v>
      </c>
      <c r="AC22" s="431">
        <v>223772</v>
      </c>
      <c r="AD22" s="431">
        <v>157045</v>
      </c>
      <c r="AE22" s="431">
        <v>641989</v>
      </c>
      <c r="AF22" s="431">
        <f>562660+9482</f>
        <v>572142</v>
      </c>
      <c r="AG22" s="431">
        <v>1583950</v>
      </c>
      <c r="AH22" s="431">
        <v>1559995</v>
      </c>
      <c r="AI22" s="431">
        <v>487029</v>
      </c>
      <c r="AJ22" s="431">
        <v>377213</v>
      </c>
      <c r="AK22" s="431">
        <v>376511</v>
      </c>
      <c r="AL22" s="431">
        <v>271279</v>
      </c>
      <c r="AM22" s="452"/>
      <c r="AN22" s="452"/>
      <c r="AO22" s="453">
        <v>2493721</v>
      </c>
      <c r="AP22" s="453">
        <v>2338203</v>
      </c>
      <c r="AQ22" s="456">
        <v>166127</v>
      </c>
      <c r="AR22" s="456">
        <v>125301</v>
      </c>
      <c r="AS22" s="450">
        <v>272117</v>
      </c>
      <c r="AT22" s="450">
        <v>259689</v>
      </c>
      <c r="AU22" s="431">
        <v>1235223</v>
      </c>
      <c r="AV22" s="431">
        <v>1802787</v>
      </c>
      <c r="AW22" s="808">
        <v>38635272</v>
      </c>
      <c r="AX22" s="450">
        <v>36698899</v>
      </c>
    </row>
    <row r="23" spans="1:50">
      <c r="A23" s="365" t="s">
        <v>213</v>
      </c>
      <c r="B23" s="433" t="s">
        <v>214</v>
      </c>
      <c r="C23" s="429">
        <v>2913487</v>
      </c>
      <c r="D23" s="784">
        <v>2728191</v>
      </c>
      <c r="E23" s="431">
        <v>321614</v>
      </c>
      <c r="F23" s="431">
        <v>499939</v>
      </c>
      <c r="G23" s="440">
        <v>723058</v>
      </c>
      <c r="H23" s="431">
        <v>668463</v>
      </c>
      <c r="I23" s="431">
        <v>4346795</v>
      </c>
      <c r="J23" s="431">
        <v>3394782</v>
      </c>
      <c r="K23" s="431">
        <v>1933434</v>
      </c>
      <c r="L23" s="431">
        <v>1290428</v>
      </c>
      <c r="M23" s="443">
        <v>1079211</v>
      </c>
      <c r="N23" s="443">
        <v>11247457</v>
      </c>
      <c r="O23" s="431">
        <v>835782</v>
      </c>
      <c r="P23" s="431">
        <v>667265</v>
      </c>
      <c r="Q23" s="446">
        <v>477523</v>
      </c>
      <c r="R23" s="446">
        <v>1353041</v>
      </c>
      <c r="S23" s="1124">
        <v>1786964</v>
      </c>
      <c r="T23" s="431">
        <v>1428449</v>
      </c>
      <c r="U23" s="431">
        <v>1583499</v>
      </c>
      <c r="V23" s="431">
        <v>1364677</v>
      </c>
      <c r="W23" s="431">
        <v>8808089</v>
      </c>
      <c r="X23" s="431">
        <v>6672041</v>
      </c>
      <c r="Y23" s="431">
        <v>6458261</v>
      </c>
      <c r="Z23" s="431">
        <v>4939073</v>
      </c>
      <c r="AA23" s="449">
        <v>566006</v>
      </c>
      <c r="AB23" s="449">
        <v>455793</v>
      </c>
      <c r="AC23" s="431">
        <v>917618</v>
      </c>
      <c r="AD23" s="431">
        <v>1051049</v>
      </c>
      <c r="AE23" s="431">
        <v>3367083</v>
      </c>
      <c r="AF23" s="431">
        <v>3117705</v>
      </c>
      <c r="AG23" s="431">
        <v>4948763</v>
      </c>
      <c r="AH23" s="431">
        <v>4466610</v>
      </c>
      <c r="AI23" s="431">
        <v>2183034</v>
      </c>
      <c r="AJ23" s="431">
        <v>2085602</v>
      </c>
      <c r="AK23" s="431">
        <v>2879740</v>
      </c>
      <c r="AL23" s="431">
        <v>2448341</v>
      </c>
      <c r="AM23" s="452"/>
      <c r="AN23" s="452"/>
      <c r="AO23" s="453">
        <v>4980101</v>
      </c>
      <c r="AP23" s="453">
        <v>5375800</v>
      </c>
      <c r="AQ23" s="456">
        <v>1055503</v>
      </c>
      <c r="AR23" s="456">
        <v>974146</v>
      </c>
      <c r="AS23" s="450">
        <v>907282</v>
      </c>
      <c r="AT23" s="450">
        <v>777684</v>
      </c>
      <c r="AU23" s="431">
        <v>3506080</v>
      </c>
      <c r="AV23" s="431">
        <v>3604733</v>
      </c>
      <c r="AW23" s="808">
        <v>71079447</v>
      </c>
      <c r="AX23" s="450">
        <v>77878465</v>
      </c>
    </row>
    <row r="24" spans="1:50">
      <c r="A24" s="365" t="s">
        <v>269</v>
      </c>
      <c r="B24" s="433"/>
      <c r="C24" s="429"/>
      <c r="D24" s="784"/>
      <c r="E24" s="431"/>
      <c r="F24" s="431"/>
      <c r="G24" s="440"/>
      <c r="H24" s="431"/>
      <c r="I24" s="431"/>
      <c r="J24" s="431"/>
      <c r="K24" s="431"/>
      <c r="L24" s="431"/>
      <c r="M24" s="443"/>
      <c r="N24" s="443"/>
      <c r="O24" s="431">
        <v>-213790</v>
      </c>
      <c r="P24" s="431"/>
      <c r="Q24" s="446"/>
      <c r="R24" s="446"/>
      <c r="S24" s="1124"/>
      <c r="T24" s="431"/>
      <c r="U24" s="431"/>
      <c r="V24" s="431"/>
      <c r="W24" s="431"/>
      <c r="X24" s="431"/>
      <c r="Y24" s="431"/>
      <c r="Z24" s="431"/>
      <c r="AA24" s="449"/>
      <c r="AB24" s="449"/>
      <c r="AC24" s="431"/>
      <c r="AD24" s="431"/>
      <c r="AE24" s="431"/>
      <c r="AF24" s="431"/>
      <c r="AG24" s="431"/>
      <c r="AH24" s="431"/>
      <c r="AI24" s="431"/>
      <c r="AJ24" s="431"/>
      <c r="AK24" s="431"/>
      <c r="AL24" s="431"/>
      <c r="AM24" s="452"/>
      <c r="AN24" s="452"/>
      <c r="AO24" s="453"/>
      <c r="AP24" s="453"/>
      <c r="AQ24" s="456"/>
      <c r="AR24" s="456"/>
      <c r="AS24" s="450"/>
      <c r="AT24" s="450"/>
      <c r="AU24" s="431"/>
      <c r="AV24" s="431"/>
      <c r="AW24" s="808">
        <v>117</v>
      </c>
      <c r="AX24" s="450">
        <v>7812</v>
      </c>
    </row>
    <row r="25" spans="1:50">
      <c r="A25" s="365" t="s">
        <v>215</v>
      </c>
      <c r="B25" s="438"/>
      <c r="C25" s="429">
        <v>527</v>
      </c>
      <c r="D25" s="784">
        <v>-395</v>
      </c>
      <c r="E25" s="431">
        <v>-5197</v>
      </c>
      <c r="F25" s="431"/>
      <c r="G25" s="440">
        <v>12559</v>
      </c>
      <c r="H25" s="431">
        <v>2059</v>
      </c>
      <c r="I25" s="431">
        <v>171</v>
      </c>
      <c r="J25" s="431">
        <v>3322</v>
      </c>
      <c r="K25" s="431">
        <v>-9068</v>
      </c>
      <c r="L25" s="431">
        <v>1643</v>
      </c>
      <c r="M25" s="443"/>
      <c r="N25" s="443">
        <v>127773</v>
      </c>
      <c r="O25" s="431"/>
      <c r="P25" s="431"/>
      <c r="Q25" s="446">
        <v>1628</v>
      </c>
      <c r="R25" s="446">
        <v>2965</v>
      </c>
      <c r="S25" s="1124"/>
      <c r="T25" s="431"/>
      <c r="U25" s="431">
        <v>5769</v>
      </c>
      <c r="V25" s="431">
        <v>37</v>
      </c>
      <c r="W25" s="431"/>
      <c r="X25" s="431"/>
      <c r="Y25" s="431">
        <v>-1949</v>
      </c>
      <c r="Z25" s="431">
        <v>-1031</v>
      </c>
      <c r="AA25" s="449">
        <v>39667</v>
      </c>
      <c r="AB25" s="449">
        <v>446</v>
      </c>
      <c r="AC25" s="431"/>
      <c r="AD25" s="431"/>
      <c r="AE25" s="431"/>
      <c r="AF25" s="431"/>
      <c r="AG25" s="431">
        <v>2575</v>
      </c>
      <c r="AH25" s="431">
        <v>1708</v>
      </c>
      <c r="AI25" s="431"/>
      <c r="AJ25" s="431"/>
      <c r="AK25" s="431"/>
      <c r="AL25" s="431"/>
      <c r="AM25" s="452"/>
      <c r="AN25" s="452"/>
      <c r="AO25" s="453">
        <v>2993</v>
      </c>
      <c r="AP25" s="453">
        <v>306</v>
      </c>
      <c r="AQ25" s="456"/>
      <c r="AR25" s="456"/>
      <c r="AS25" s="450">
        <v>240</v>
      </c>
      <c r="AT25" s="450">
        <v>21</v>
      </c>
      <c r="AU25" s="431"/>
      <c r="AV25" s="431"/>
      <c r="AW25" s="808">
        <v>5078370</v>
      </c>
      <c r="AX25" s="450">
        <v>2265033</v>
      </c>
    </row>
    <row r="26" spans="1:50" ht="17.25">
      <c r="A26" s="365" t="s">
        <v>216</v>
      </c>
      <c r="B26" s="438"/>
      <c r="C26" s="430"/>
      <c r="D26" s="785"/>
      <c r="E26" s="432"/>
      <c r="F26" s="432"/>
      <c r="G26" s="441"/>
      <c r="H26" s="432"/>
      <c r="I26" s="432"/>
      <c r="J26" s="432">
        <v>-93</v>
      </c>
      <c r="K26" s="432">
        <v>18567</v>
      </c>
      <c r="L26" s="432">
        <v>21576</v>
      </c>
      <c r="M26" s="444"/>
      <c r="N26" s="444"/>
      <c r="O26" s="432"/>
      <c r="P26" s="432"/>
      <c r="Q26" s="447"/>
      <c r="R26" s="447"/>
      <c r="S26" s="1125"/>
      <c r="T26" s="432"/>
      <c r="U26" s="432">
        <v>110</v>
      </c>
      <c r="V26" s="432"/>
      <c r="W26" s="432"/>
      <c r="X26" s="432"/>
      <c r="Y26" s="432">
        <v>6157</v>
      </c>
      <c r="Z26" s="432">
        <v>7662</v>
      </c>
      <c r="AA26" s="449">
        <v>175</v>
      </c>
      <c r="AB26" s="449"/>
      <c r="AC26" s="432"/>
      <c r="AD26" s="432"/>
      <c r="AE26" s="451"/>
      <c r="AF26" s="451"/>
      <c r="AG26" s="432">
        <v>1588</v>
      </c>
      <c r="AH26" s="432"/>
      <c r="AI26" s="432"/>
      <c r="AJ26" s="432"/>
      <c r="AK26" s="432"/>
      <c r="AL26" s="432"/>
      <c r="AM26" s="452"/>
      <c r="AN26" s="452"/>
      <c r="AO26" s="455">
        <v>675</v>
      </c>
      <c r="AP26" s="455">
        <v>500</v>
      </c>
      <c r="AQ26" s="456"/>
      <c r="AR26" s="456"/>
      <c r="AS26" s="450">
        <v>252</v>
      </c>
      <c r="AT26" s="450">
        <v>883</v>
      </c>
      <c r="AU26" s="432"/>
      <c r="AV26" s="432"/>
      <c r="AW26" s="441"/>
      <c r="AX26" s="432"/>
    </row>
    <row r="27" spans="1:50">
      <c r="A27" s="365" t="s">
        <v>217</v>
      </c>
      <c r="B27" s="438"/>
      <c r="C27" s="429">
        <v>47935</v>
      </c>
      <c r="D27" s="784">
        <v>78904</v>
      </c>
      <c r="E27" s="431"/>
      <c r="F27" s="431"/>
      <c r="G27" s="440"/>
      <c r="H27" s="431"/>
      <c r="I27" s="431"/>
      <c r="J27" s="431"/>
      <c r="K27" s="431"/>
      <c r="L27" s="431"/>
      <c r="M27" s="443"/>
      <c r="N27" s="443"/>
      <c r="O27" s="431"/>
      <c r="P27" s="431"/>
      <c r="Q27" s="446"/>
      <c r="R27" s="446"/>
      <c r="S27" s="1124"/>
      <c r="T27" s="431"/>
      <c r="U27" s="431"/>
      <c r="V27" s="431"/>
      <c r="W27" s="431">
        <v>48377</v>
      </c>
      <c r="X27" s="431">
        <v>315555</v>
      </c>
      <c r="Y27" s="431"/>
      <c r="Z27" s="431"/>
      <c r="AA27" s="449"/>
      <c r="AB27" s="449"/>
      <c r="AC27" s="431"/>
      <c r="AD27" s="431"/>
      <c r="AE27" s="431">
        <v>158278</v>
      </c>
      <c r="AF27" s="431">
        <v>406215</v>
      </c>
      <c r="AG27" s="431"/>
      <c r="AH27" s="431"/>
      <c r="AI27" s="431">
        <v>113222</v>
      </c>
      <c r="AJ27" s="431">
        <v>142273</v>
      </c>
      <c r="AK27" s="431"/>
      <c r="AL27" s="431"/>
      <c r="AM27" s="452"/>
      <c r="AN27" s="452"/>
      <c r="AO27" s="418">
        <v>1779233</v>
      </c>
      <c r="AP27" s="418">
        <v>2393150</v>
      </c>
      <c r="AQ27" s="456">
        <v>136503</v>
      </c>
      <c r="AR27" s="456">
        <v>160981</v>
      </c>
      <c r="AS27" s="450"/>
      <c r="AT27" s="450">
        <v>8404</v>
      </c>
      <c r="AU27" s="431">
        <v>-180726</v>
      </c>
      <c r="AV27" s="431">
        <v>-129460</v>
      </c>
      <c r="AW27" s="808">
        <v>4735313</v>
      </c>
      <c r="AX27" s="450">
        <v>16276524</v>
      </c>
    </row>
    <row r="28" spans="1:50">
      <c r="A28" s="365" t="s">
        <v>218</v>
      </c>
      <c r="B28" s="438"/>
      <c r="C28" s="429"/>
      <c r="D28" s="784"/>
      <c r="E28" s="431"/>
      <c r="F28" s="431"/>
      <c r="G28" s="440"/>
      <c r="H28" s="431"/>
      <c r="I28" s="431"/>
      <c r="J28" s="431"/>
      <c r="K28" s="431"/>
      <c r="L28" s="431"/>
      <c r="M28" s="443"/>
      <c r="N28" s="443"/>
      <c r="O28" s="431"/>
      <c r="P28" s="431"/>
      <c r="Q28" s="446"/>
      <c r="R28" s="446"/>
      <c r="S28" s="1124"/>
      <c r="T28" s="431"/>
      <c r="U28" s="431"/>
      <c r="V28" s="431"/>
      <c r="W28" s="431"/>
      <c r="X28" s="431"/>
      <c r="Y28" s="431"/>
      <c r="Z28" s="431"/>
      <c r="AA28" s="449"/>
      <c r="AB28" s="449"/>
      <c r="AC28" s="431"/>
      <c r="AD28" s="431"/>
      <c r="AE28" s="431"/>
      <c r="AF28" s="431"/>
      <c r="AG28" s="431"/>
      <c r="AH28" s="431"/>
      <c r="AI28" s="431"/>
      <c r="AJ28" s="431"/>
      <c r="AK28" s="431"/>
      <c r="AL28" s="431"/>
      <c r="AM28" s="452"/>
      <c r="AN28" s="452"/>
      <c r="AO28" s="453"/>
      <c r="AP28" s="453"/>
      <c r="AQ28" s="456"/>
      <c r="AR28" s="456"/>
      <c r="AS28" s="450"/>
      <c r="AT28" s="450"/>
      <c r="AU28" s="431"/>
      <c r="AV28" s="431"/>
      <c r="AW28" s="808"/>
      <c r="AX28" s="450"/>
    </row>
    <row r="29" spans="1:50">
      <c r="A29" s="365" t="s">
        <v>219</v>
      </c>
      <c r="B29" s="438"/>
      <c r="C29" s="429"/>
      <c r="D29" s="784"/>
      <c r="E29" s="431"/>
      <c r="F29" s="431"/>
      <c r="G29" s="440"/>
      <c r="H29" s="431"/>
      <c r="I29" s="431"/>
      <c r="J29" s="431"/>
      <c r="K29" s="431"/>
      <c r="L29" s="431"/>
      <c r="M29" s="443"/>
      <c r="N29" s="443"/>
      <c r="O29" s="431"/>
      <c r="P29" s="431"/>
      <c r="Q29" s="446"/>
      <c r="R29" s="446"/>
      <c r="S29" s="1124"/>
      <c r="T29" s="431"/>
      <c r="U29" s="431"/>
      <c r="V29" s="431"/>
      <c r="W29" s="431"/>
      <c r="X29" s="431">
        <v>-606</v>
      </c>
      <c r="Y29" s="431"/>
      <c r="Z29" s="431"/>
      <c r="AA29" s="449"/>
      <c r="AB29" s="449"/>
      <c r="AC29" s="431"/>
      <c r="AD29" s="431"/>
      <c r="AE29" s="431"/>
      <c r="AF29" s="431"/>
      <c r="AG29" s="431"/>
      <c r="AH29" s="431"/>
      <c r="AI29" s="431"/>
      <c r="AJ29" s="431"/>
      <c r="AK29" s="431"/>
      <c r="AL29" s="431"/>
      <c r="AM29" s="452"/>
      <c r="AN29" s="452"/>
      <c r="AO29" s="418"/>
      <c r="AP29" s="418">
        <v>2393150</v>
      </c>
      <c r="AQ29" s="456"/>
      <c r="AR29" s="456"/>
      <c r="AS29" s="450"/>
      <c r="AT29" s="450"/>
      <c r="AU29" s="431"/>
      <c r="AV29" s="431"/>
      <c r="AW29" s="808"/>
      <c r="AX29" s="450"/>
    </row>
    <row r="30" spans="1:50">
      <c r="A30" s="365" t="s">
        <v>220</v>
      </c>
      <c r="B30" s="438"/>
      <c r="C30" s="429"/>
      <c r="D30" s="784">
        <v>41843</v>
      </c>
      <c r="E30" s="431"/>
      <c r="F30" s="431"/>
      <c r="G30" s="440"/>
      <c r="H30" s="431"/>
      <c r="I30" s="431">
        <v>975146</v>
      </c>
      <c r="J30" s="431"/>
      <c r="K30" s="431"/>
      <c r="L30" s="431"/>
      <c r="M30" s="443"/>
      <c r="N30" s="443"/>
      <c r="O30" s="431">
        <v>144399</v>
      </c>
      <c r="P30" s="431"/>
      <c r="Q30" s="446">
        <v>37682</v>
      </c>
      <c r="R30" s="446"/>
      <c r="S30" s="1124"/>
      <c r="T30" s="431">
        <v>25000</v>
      </c>
      <c r="U30" s="431"/>
      <c r="V30" s="431">
        <v>15000</v>
      </c>
      <c r="W30" s="431">
        <v>677328</v>
      </c>
      <c r="X30" s="431">
        <v>-570256</v>
      </c>
      <c r="Y30" s="431">
        <v>410160</v>
      </c>
      <c r="Z30" s="431">
        <v>201234</v>
      </c>
      <c r="AA30" s="449">
        <v>-37959</v>
      </c>
      <c r="AB30" s="449">
        <v>23757</v>
      </c>
      <c r="AC30" s="431">
        <v>170661</v>
      </c>
      <c r="AD30" s="431"/>
      <c r="AE30" s="431">
        <v>39304</v>
      </c>
      <c r="AF30" s="431">
        <v>-65529</v>
      </c>
      <c r="AG30" s="431"/>
      <c r="AH30" s="431">
        <v>255735</v>
      </c>
      <c r="AI30" s="431"/>
      <c r="AJ30" s="431"/>
      <c r="AK30" s="431"/>
      <c r="AL30" s="431"/>
      <c r="AM30" s="452"/>
      <c r="AN30" s="452"/>
      <c r="AO30" s="453">
        <v>183006</v>
      </c>
      <c r="AP30" s="453">
        <v>-1134332</v>
      </c>
      <c r="AQ30" s="456">
        <v>45661</v>
      </c>
      <c r="AR30" s="456"/>
      <c r="AS30" s="450">
        <v>118700</v>
      </c>
      <c r="AT30" s="450">
        <v>119400</v>
      </c>
      <c r="AU30" s="431">
        <v>-9987</v>
      </c>
      <c r="AV30" s="431">
        <v>7475</v>
      </c>
      <c r="AW30" s="808">
        <v>3757923</v>
      </c>
      <c r="AX30" s="450">
        <v>-604225</v>
      </c>
    </row>
    <row r="31" spans="1:50" ht="17.25">
      <c r="A31" s="365" t="s">
        <v>221</v>
      </c>
      <c r="B31" s="438"/>
      <c r="C31" s="430">
        <v>-41</v>
      </c>
      <c r="D31" s="785">
        <v>-41</v>
      </c>
      <c r="E31" s="432"/>
      <c r="F31" s="432"/>
      <c r="G31" s="441"/>
      <c r="H31" s="432"/>
      <c r="I31" s="432">
        <v>1616</v>
      </c>
      <c r="J31" s="432">
        <v>1096</v>
      </c>
      <c r="K31" s="432"/>
      <c r="L31" s="432"/>
      <c r="M31" s="444"/>
      <c r="N31" s="444"/>
      <c r="O31" s="432"/>
      <c r="P31" s="432"/>
      <c r="Q31" s="447"/>
      <c r="R31" s="447"/>
      <c r="S31" s="1125"/>
      <c r="T31" s="432"/>
      <c r="U31" s="432"/>
      <c r="V31" s="432"/>
      <c r="W31" s="432">
        <v>163503</v>
      </c>
      <c r="X31" s="432"/>
      <c r="Y31" s="432"/>
      <c r="Z31" s="432"/>
      <c r="AA31" s="449"/>
      <c r="AB31" s="449"/>
      <c r="AC31" s="432"/>
      <c r="AD31" s="432"/>
      <c r="AE31" s="451">
        <v>-14</v>
      </c>
      <c r="AF31" s="451">
        <v>-25</v>
      </c>
      <c r="AG31" s="432"/>
      <c r="AH31" s="432"/>
      <c r="AI31" s="432"/>
      <c r="AJ31" s="432"/>
      <c r="AK31" s="432"/>
      <c r="AL31" s="432"/>
      <c r="AM31" s="452"/>
      <c r="AN31" s="452"/>
      <c r="AO31" s="455">
        <v>-150</v>
      </c>
      <c r="AP31" s="455">
        <v>-150</v>
      </c>
      <c r="AQ31" s="456"/>
      <c r="AR31" s="456"/>
      <c r="AS31" s="450"/>
      <c r="AT31" s="450"/>
      <c r="AU31" s="432"/>
      <c r="AV31" s="432"/>
      <c r="AW31" s="441"/>
      <c r="AX31" s="432"/>
    </row>
    <row r="32" spans="1:50" ht="17.25">
      <c r="A32" s="365" t="s">
        <v>303</v>
      </c>
      <c r="B32" s="438"/>
      <c r="C32" s="430"/>
      <c r="D32" s="785"/>
      <c r="E32" s="432"/>
      <c r="F32" s="432"/>
      <c r="G32" s="441"/>
      <c r="H32" s="432"/>
      <c r="I32" s="432"/>
      <c r="J32" s="432"/>
      <c r="K32" s="432"/>
      <c r="L32" s="432"/>
      <c r="M32" s="444"/>
      <c r="N32" s="444"/>
      <c r="O32" s="432"/>
      <c r="P32" s="432"/>
      <c r="Q32" s="447"/>
      <c r="R32" s="447"/>
      <c r="S32" s="1125"/>
      <c r="T32" s="432"/>
      <c r="U32" s="432"/>
      <c r="V32" s="432"/>
      <c r="W32" s="432"/>
      <c r="X32" s="432"/>
      <c r="Y32" s="432"/>
      <c r="Z32" s="432"/>
      <c r="AA32" s="449"/>
      <c r="AB32" s="449"/>
      <c r="AC32" s="432"/>
      <c r="AD32" s="432"/>
      <c r="AE32" s="451"/>
      <c r="AF32" s="451"/>
      <c r="AG32" s="432"/>
      <c r="AH32" s="432"/>
      <c r="AI32" s="432">
        <v>632</v>
      </c>
      <c r="AJ32" s="432">
        <v>13221</v>
      </c>
      <c r="AK32" s="432"/>
      <c r="AL32" s="432"/>
      <c r="AM32" s="452"/>
      <c r="AN32" s="452"/>
      <c r="AO32" s="455"/>
      <c r="AP32" s="455"/>
      <c r="AQ32" s="456"/>
      <c r="AR32" s="456"/>
      <c r="AS32" s="450"/>
      <c r="AT32" s="450"/>
      <c r="AU32" s="432"/>
      <c r="AV32" s="432"/>
      <c r="AW32" s="441">
        <v>1706673</v>
      </c>
      <c r="AX32" s="432">
        <v>24541151</v>
      </c>
    </row>
    <row r="33" spans="1:50">
      <c r="A33" s="365" t="s">
        <v>222</v>
      </c>
      <c r="B33" s="438"/>
      <c r="C33" s="429">
        <v>273997</v>
      </c>
      <c r="D33" s="784"/>
      <c r="E33" s="431">
        <v>9598</v>
      </c>
      <c r="F33" s="431">
        <v>7498</v>
      </c>
      <c r="G33" s="440">
        <v>39038</v>
      </c>
      <c r="H33" s="431">
        <v>34144</v>
      </c>
      <c r="I33" s="431">
        <v>296456</v>
      </c>
      <c r="J33" s="431">
        <v>273987</v>
      </c>
      <c r="K33" s="431">
        <v>10125</v>
      </c>
      <c r="L33" s="431">
        <v>10089</v>
      </c>
      <c r="M33" s="443">
        <v>133242</v>
      </c>
      <c r="N33" s="443"/>
      <c r="O33" s="431">
        <v>4134</v>
      </c>
      <c r="P33" s="431">
        <v>3536</v>
      </c>
      <c r="Q33" s="446">
        <v>14235</v>
      </c>
      <c r="R33" s="446">
        <v>15645</v>
      </c>
      <c r="S33" s="1124">
        <v>14322</v>
      </c>
      <c r="T33" s="431">
        <v>11834</v>
      </c>
      <c r="U33" s="431">
        <v>10154</v>
      </c>
      <c r="V33" s="431">
        <v>10429</v>
      </c>
      <c r="W33" s="431">
        <v>849198</v>
      </c>
      <c r="X33" s="431">
        <v>824431</v>
      </c>
      <c r="Y33" s="431">
        <v>1528317</v>
      </c>
      <c r="Z33" s="431">
        <v>1432751</v>
      </c>
      <c r="AA33" s="450"/>
      <c r="AB33" s="450">
        <v>38027</v>
      </c>
      <c r="AC33" s="431">
        <v>69529</v>
      </c>
      <c r="AD33" s="431">
        <v>67460</v>
      </c>
      <c r="AE33" s="431">
        <v>148732</v>
      </c>
      <c r="AF33" s="431">
        <v>148128</v>
      </c>
      <c r="AG33" s="431">
        <v>330482</v>
      </c>
      <c r="AH33" s="431">
        <v>353616</v>
      </c>
      <c r="AI33" s="431">
        <v>106922</v>
      </c>
      <c r="AJ33" s="431">
        <v>103435</v>
      </c>
      <c r="AK33" s="431">
        <v>76870</v>
      </c>
      <c r="AL33" s="431">
        <v>70420</v>
      </c>
      <c r="AM33" s="452"/>
      <c r="AN33" s="452"/>
      <c r="AO33" s="453">
        <v>1113487</v>
      </c>
      <c r="AP33" s="453">
        <v>1260757</v>
      </c>
      <c r="AQ33" s="456">
        <v>6806</v>
      </c>
      <c r="AR33" s="456">
        <v>6081</v>
      </c>
      <c r="AS33" s="450">
        <v>23713</v>
      </c>
      <c r="AT33" s="450">
        <v>21858</v>
      </c>
      <c r="AU33" s="431">
        <v>131269</v>
      </c>
      <c r="AV33" s="431">
        <v>137386</v>
      </c>
      <c r="AW33" s="440">
        <v>197935</v>
      </c>
      <c r="AX33" s="431">
        <v>123479</v>
      </c>
    </row>
    <row r="34" spans="1:50" s="889" customFormat="1" ht="18">
      <c r="A34" s="877" t="s">
        <v>223</v>
      </c>
      <c r="B34" s="878"/>
      <c r="C34" s="879">
        <v>4029140</v>
      </c>
      <c r="D34" s="880">
        <v>3922117</v>
      </c>
      <c r="E34" s="881">
        <v>334566</v>
      </c>
      <c r="F34" s="881">
        <v>519747</v>
      </c>
      <c r="G34" s="882">
        <v>899253</v>
      </c>
      <c r="H34" s="881">
        <v>744323</v>
      </c>
      <c r="I34" s="881">
        <v>6187902</v>
      </c>
      <c r="J34" s="881">
        <v>4409594</v>
      </c>
      <c r="K34" s="881">
        <v>2311138</v>
      </c>
      <c r="L34" s="881">
        <v>1631323</v>
      </c>
      <c r="M34" s="883">
        <v>1528825</v>
      </c>
      <c r="N34" s="883">
        <v>1670164</v>
      </c>
      <c r="O34" s="881">
        <v>861461</v>
      </c>
      <c r="P34" s="881">
        <v>726471</v>
      </c>
      <c r="Q34" s="884">
        <v>628041</v>
      </c>
      <c r="R34" s="884">
        <v>1493697</v>
      </c>
      <c r="S34" s="1126">
        <v>2118807</v>
      </c>
      <c r="T34" s="881">
        <v>1800767</v>
      </c>
      <c r="U34" s="881">
        <v>1671209</v>
      </c>
      <c r="V34" s="881">
        <v>1437194</v>
      </c>
      <c r="W34" s="881">
        <v>13788788</v>
      </c>
      <c r="X34" s="881">
        <v>9640497</v>
      </c>
      <c r="Y34" s="881">
        <v>11049329</v>
      </c>
      <c r="Z34" s="881">
        <v>8647085</v>
      </c>
      <c r="AA34" s="885">
        <v>704949</v>
      </c>
      <c r="AB34" s="885">
        <v>678764</v>
      </c>
      <c r="AC34" s="881">
        <v>1381581</v>
      </c>
      <c r="AD34" s="881">
        <v>1275555</v>
      </c>
      <c r="AE34" s="881">
        <v>4355372</v>
      </c>
      <c r="AF34" s="881">
        <v>4178636</v>
      </c>
      <c r="AG34" s="881">
        <v>6867358</v>
      </c>
      <c r="AH34" s="881">
        <v>6637664</v>
      </c>
      <c r="AI34" s="881">
        <v>2890839</v>
      </c>
      <c r="AJ34" s="881">
        <v>2721744</v>
      </c>
      <c r="AK34" s="881">
        <v>3333121</v>
      </c>
      <c r="AL34" s="881">
        <v>2790040</v>
      </c>
      <c r="AM34" s="886"/>
      <c r="AN34" s="886"/>
      <c r="AO34" s="887">
        <v>10553064</v>
      </c>
      <c r="AP34" s="887">
        <v>10234234</v>
      </c>
      <c r="AQ34" s="888">
        <v>1410601</v>
      </c>
      <c r="AR34" s="888">
        <v>1266510</v>
      </c>
      <c r="AS34" s="885">
        <v>1322404</v>
      </c>
      <c r="AT34" s="885">
        <v>1187939</v>
      </c>
      <c r="AU34" s="881">
        <v>4681859</v>
      </c>
      <c r="AV34" s="881">
        <v>5422921</v>
      </c>
      <c r="AW34" s="882">
        <v>125191055</v>
      </c>
      <c r="AX34" s="881">
        <v>157187138</v>
      </c>
    </row>
    <row r="35" spans="1:50">
      <c r="A35" s="365" t="s">
        <v>224</v>
      </c>
      <c r="B35" s="433" t="s">
        <v>225</v>
      </c>
      <c r="C35" s="429">
        <v>13869858</v>
      </c>
      <c r="D35" s="784">
        <v>5858435</v>
      </c>
      <c r="E35" s="431">
        <v>719949</v>
      </c>
      <c r="F35" s="431">
        <v>280782</v>
      </c>
      <c r="G35" s="440">
        <v>2430060</v>
      </c>
      <c r="H35" s="431">
        <v>1134863</v>
      </c>
      <c r="I35" s="431">
        <v>13045369</v>
      </c>
      <c r="J35" s="431">
        <v>7317312</v>
      </c>
      <c r="K35" s="431">
        <v>871501</v>
      </c>
      <c r="L35" s="431">
        <v>690313</v>
      </c>
      <c r="M35" s="443">
        <v>3459672</v>
      </c>
      <c r="N35" s="443">
        <v>3734624</v>
      </c>
      <c r="O35" s="431">
        <v>855696</v>
      </c>
      <c r="P35" s="431">
        <v>359855</v>
      </c>
      <c r="Q35" s="446">
        <v>151421</v>
      </c>
      <c r="R35" s="446">
        <v>188233</v>
      </c>
      <c r="S35" s="1124">
        <v>3131549</v>
      </c>
      <c r="T35" s="431">
        <v>2632398</v>
      </c>
      <c r="U35" s="431">
        <v>887118</v>
      </c>
      <c r="V35" s="431">
        <v>1123961</v>
      </c>
      <c r="W35" s="431">
        <v>35151663</v>
      </c>
      <c r="X35" s="431">
        <v>26518074</v>
      </c>
      <c r="Y35" s="431">
        <v>36279743</v>
      </c>
      <c r="Z35" s="431">
        <v>25779975</v>
      </c>
      <c r="AA35" s="450">
        <v>1013291</v>
      </c>
      <c r="AB35" s="450">
        <v>1210053</v>
      </c>
      <c r="AC35" s="431">
        <v>10503929</v>
      </c>
      <c r="AD35" s="431">
        <v>3000217</v>
      </c>
      <c r="AE35" s="431">
        <v>6582675</v>
      </c>
      <c r="AF35" s="431">
        <v>6410654</v>
      </c>
      <c r="AG35" s="431">
        <v>16500633</v>
      </c>
      <c r="AH35" s="431">
        <v>9829378</v>
      </c>
      <c r="AI35" s="431">
        <v>5628952</v>
      </c>
      <c r="AJ35" s="431">
        <v>4405314</v>
      </c>
      <c r="AK35" s="431">
        <v>6501898</v>
      </c>
      <c r="AL35" s="431">
        <v>4506624</v>
      </c>
      <c r="AM35" s="452"/>
      <c r="AN35" s="452"/>
      <c r="AO35" s="453">
        <v>28538346</v>
      </c>
      <c r="AP35" s="453">
        <v>28424344</v>
      </c>
      <c r="AQ35" s="456">
        <v>1249671</v>
      </c>
      <c r="AR35" s="456">
        <v>582733</v>
      </c>
      <c r="AS35" s="450">
        <v>1781069</v>
      </c>
      <c r="AT35" s="450">
        <v>1789168</v>
      </c>
      <c r="AU35" s="431">
        <v>4987334</v>
      </c>
      <c r="AV35" s="431">
        <v>3656548</v>
      </c>
      <c r="AW35" s="440">
        <v>468470495</v>
      </c>
      <c r="AX35" s="431">
        <v>475179180</v>
      </c>
    </row>
    <row r="36" spans="1:50">
      <c r="A36" s="365" t="s">
        <v>226</v>
      </c>
      <c r="B36" s="438"/>
      <c r="C36" s="429">
        <v>10070</v>
      </c>
      <c r="D36" s="784">
        <v>21168</v>
      </c>
      <c r="E36" s="431">
        <v>304</v>
      </c>
      <c r="F36" s="431">
        <v>51</v>
      </c>
      <c r="G36" s="440">
        <v>5351</v>
      </c>
      <c r="H36" s="431">
        <v>791</v>
      </c>
      <c r="I36" s="431">
        <v>172894</v>
      </c>
      <c r="J36" s="431">
        <v>302074</v>
      </c>
      <c r="K36" s="431"/>
      <c r="L36" s="431"/>
      <c r="M36" s="443">
        <v>4574</v>
      </c>
      <c r="N36" s="443">
        <v>5460</v>
      </c>
      <c r="O36" s="431">
        <v>47</v>
      </c>
      <c r="P36" s="431">
        <v>28</v>
      </c>
      <c r="Q36" s="446">
        <v>70</v>
      </c>
      <c r="R36" s="446">
        <v>39</v>
      </c>
      <c r="S36" s="1124">
        <v>2055</v>
      </c>
      <c r="T36" s="431">
        <v>1319</v>
      </c>
      <c r="U36" s="431">
        <v>3918</v>
      </c>
      <c r="V36" s="431">
        <v>2404</v>
      </c>
      <c r="W36" s="431">
        <f>162811+1303094</f>
        <v>1465905</v>
      </c>
      <c r="X36" s="431">
        <f>181884+1288545</f>
        <v>1470429</v>
      </c>
      <c r="Y36" s="431">
        <v>165845</v>
      </c>
      <c r="Z36" s="431">
        <v>181180</v>
      </c>
      <c r="AA36" s="450">
        <v>14</v>
      </c>
      <c r="AB36" s="450">
        <v>44</v>
      </c>
      <c r="AC36" s="431"/>
      <c r="AD36" s="431"/>
      <c r="AE36" s="431">
        <v>42442</v>
      </c>
      <c r="AF36" s="431">
        <v>54610</v>
      </c>
      <c r="AG36" s="431">
        <v>3489</v>
      </c>
      <c r="AH36" s="431">
        <v>3111</v>
      </c>
      <c r="AI36" s="431">
        <v>9200</v>
      </c>
      <c r="AJ36" s="431">
        <v>9749</v>
      </c>
      <c r="AK36" s="431">
        <v>1303</v>
      </c>
      <c r="AL36" s="431">
        <v>401</v>
      </c>
      <c r="AM36" s="452"/>
      <c r="AN36" s="452"/>
      <c r="AO36" s="453">
        <v>66195</v>
      </c>
      <c r="AP36" s="453">
        <v>103230</v>
      </c>
      <c r="AQ36" s="456">
        <v>1225</v>
      </c>
      <c r="AR36" s="456">
        <v>673</v>
      </c>
      <c r="AS36" s="450">
        <v>2</v>
      </c>
      <c r="AT36" s="450">
        <v>2</v>
      </c>
      <c r="AU36" s="431"/>
      <c r="AV36" s="431"/>
      <c r="AW36" s="440">
        <v>3895615</v>
      </c>
      <c r="AX36" s="431">
        <v>4618314</v>
      </c>
    </row>
    <row r="37" spans="1:50" ht="17.25">
      <c r="A37" s="365" t="s">
        <v>227</v>
      </c>
      <c r="B37" s="438"/>
      <c r="C37" s="430"/>
      <c r="D37" s="785"/>
      <c r="E37" s="432"/>
      <c r="F37" s="432"/>
      <c r="G37" s="441"/>
      <c r="H37" s="432"/>
      <c r="I37" s="432"/>
      <c r="J37" s="432"/>
      <c r="K37" s="432"/>
      <c r="L37" s="432"/>
      <c r="M37" s="444"/>
      <c r="N37" s="444"/>
      <c r="O37" s="432"/>
      <c r="P37" s="432"/>
      <c r="Q37" s="447"/>
      <c r="R37" s="447"/>
      <c r="S37" s="1125"/>
      <c r="T37" s="432"/>
      <c r="U37" s="432"/>
      <c r="V37" s="432"/>
      <c r="W37" s="432"/>
      <c r="X37" s="432"/>
      <c r="Y37" s="432"/>
      <c r="Z37" s="432"/>
      <c r="AA37" s="449"/>
      <c r="AB37" s="449"/>
      <c r="AC37" s="432"/>
      <c r="AD37" s="432"/>
      <c r="AE37" s="451"/>
      <c r="AF37" s="451"/>
      <c r="AG37" s="432"/>
      <c r="AH37" s="432"/>
      <c r="AI37" s="432"/>
      <c r="AJ37" s="432"/>
      <c r="AK37" s="432"/>
      <c r="AL37" s="432"/>
      <c r="AM37" s="452"/>
      <c r="AN37" s="452"/>
      <c r="AO37" s="418"/>
      <c r="AP37" s="418"/>
      <c r="AQ37" s="456"/>
      <c r="AR37" s="456"/>
      <c r="AS37" s="450"/>
      <c r="AT37" s="450"/>
      <c r="AU37" s="432"/>
      <c r="AV37" s="432"/>
      <c r="AW37" s="441"/>
      <c r="AX37" s="432"/>
    </row>
    <row r="38" spans="1:50">
      <c r="A38" s="365" t="s">
        <v>228</v>
      </c>
      <c r="B38" s="438"/>
      <c r="C38" s="429">
        <v>3430428</v>
      </c>
      <c r="D38" s="784">
        <v>10601165</v>
      </c>
      <c r="E38" s="431"/>
      <c r="F38" s="431"/>
      <c r="G38" s="440">
        <v>64352</v>
      </c>
      <c r="H38" s="431">
        <v>4412871</v>
      </c>
      <c r="I38" s="431">
        <v>5893348</v>
      </c>
      <c r="J38" s="431">
        <v>7036849</v>
      </c>
      <c r="K38" s="431">
        <v>2428728</v>
      </c>
      <c r="L38" s="431">
        <v>3838508</v>
      </c>
      <c r="M38" s="443">
        <v>6052253</v>
      </c>
      <c r="N38" s="443">
        <v>14813234</v>
      </c>
      <c r="O38" s="431">
        <v>1526012</v>
      </c>
      <c r="P38" s="431">
        <v>1528701</v>
      </c>
      <c r="Q38" s="446">
        <v>845801</v>
      </c>
      <c r="R38" s="446">
        <v>2347386</v>
      </c>
      <c r="S38" s="1124">
        <f>3666010-103512+3769522</f>
        <v>7332020</v>
      </c>
      <c r="T38" s="431">
        <v>5341275</v>
      </c>
      <c r="U38" s="431">
        <f>-51108+851329</f>
        <v>800221</v>
      </c>
      <c r="V38" s="431">
        <f>674863-448407</f>
        <v>226456</v>
      </c>
      <c r="W38" s="431">
        <v>32699594</v>
      </c>
      <c r="X38" s="431">
        <v>33437189</v>
      </c>
      <c r="Y38" s="431">
        <v>28107289</v>
      </c>
      <c r="Z38" s="431">
        <v>23559309</v>
      </c>
      <c r="AA38" s="449">
        <v>2210235</v>
      </c>
      <c r="AB38" s="449">
        <v>3639583</v>
      </c>
      <c r="AC38" s="431">
        <v>-2639677</v>
      </c>
      <c r="AD38" s="431">
        <v>2890802</v>
      </c>
      <c r="AE38" s="431">
        <v>7601077</v>
      </c>
      <c r="AF38" s="431">
        <v>3315831</v>
      </c>
      <c r="AG38" s="431">
        <v>13454956</v>
      </c>
      <c r="AH38" s="431">
        <v>39749979</v>
      </c>
      <c r="AI38" s="431">
        <f>-1687987+5682494</f>
        <v>3994507</v>
      </c>
      <c r="AJ38" s="431">
        <f>4354958+5396289</f>
        <v>9751247</v>
      </c>
      <c r="AK38" s="431">
        <f>-2075857+4256823</f>
        <v>2180966</v>
      </c>
      <c r="AL38" s="431">
        <f>4697608+4450338</f>
        <v>9147946</v>
      </c>
      <c r="AM38" s="452"/>
      <c r="AN38" s="452"/>
      <c r="AO38" s="453">
        <v>22320652</v>
      </c>
      <c r="AP38" s="453">
        <v>23203873</v>
      </c>
      <c r="AQ38" s="456">
        <v>517510</v>
      </c>
      <c r="AR38" s="456">
        <v>1595978</v>
      </c>
      <c r="AS38" s="450">
        <v>2364735</v>
      </c>
      <c r="AT38" s="450">
        <v>3352656</v>
      </c>
      <c r="AU38" s="431">
        <f>17589527+1049666</f>
        <v>18639193</v>
      </c>
      <c r="AV38" s="431">
        <f>15398510+15877907</f>
        <v>31276417</v>
      </c>
      <c r="AW38" s="440">
        <v>8691279918</v>
      </c>
      <c r="AX38" s="431">
        <v>718552655</v>
      </c>
    </row>
    <row r="39" spans="1:50">
      <c r="A39" s="365" t="s">
        <v>229</v>
      </c>
      <c r="B39" s="438"/>
      <c r="C39" s="429">
        <v>-288809</v>
      </c>
      <c r="D39" s="784">
        <v>-538118</v>
      </c>
      <c r="E39" s="431">
        <v>-42833</v>
      </c>
      <c r="F39" s="431">
        <v>-38030</v>
      </c>
      <c r="G39" s="440">
        <v>-5634</v>
      </c>
      <c r="H39" s="431">
        <v>-24835</v>
      </c>
      <c r="I39" s="431">
        <v>-55620</v>
      </c>
      <c r="J39" s="431">
        <v>-7703</v>
      </c>
      <c r="K39" s="431">
        <v>9084</v>
      </c>
      <c r="L39" s="431">
        <v>-30524</v>
      </c>
      <c r="M39" s="443">
        <v>-334275</v>
      </c>
      <c r="N39" s="443">
        <v>-320732</v>
      </c>
      <c r="O39" s="431">
        <v>57202</v>
      </c>
      <c r="P39" s="431">
        <v>71137</v>
      </c>
      <c r="Q39" s="446">
        <v>-21715</v>
      </c>
      <c r="R39" s="446">
        <v>-28522</v>
      </c>
      <c r="S39" s="1124">
        <v>-116106</v>
      </c>
      <c r="T39" s="431">
        <v>-80230</v>
      </c>
      <c r="U39" s="431">
        <v>-1041</v>
      </c>
      <c r="V39" s="431">
        <v>33789</v>
      </c>
      <c r="W39" s="431">
        <v>-1054319</v>
      </c>
      <c r="X39" s="431">
        <v>-1973169</v>
      </c>
      <c r="Y39" s="431">
        <v>-11923178</v>
      </c>
      <c r="Z39" s="431">
        <v>-5793218</v>
      </c>
      <c r="AA39" s="449">
        <v>7628</v>
      </c>
      <c r="AB39" s="449">
        <v>14962</v>
      </c>
      <c r="AC39" s="431"/>
      <c r="AD39" s="431"/>
      <c r="AE39" s="431">
        <v>-110305</v>
      </c>
      <c r="AF39" s="431">
        <v>-194268</v>
      </c>
      <c r="AG39" s="431">
        <v>-661478</v>
      </c>
      <c r="AH39" s="431">
        <v>-399454</v>
      </c>
      <c r="AI39" s="431">
        <v>-329103</v>
      </c>
      <c r="AJ39" s="431">
        <v>-1247453</v>
      </c>
      <c r="AK39" s="431"/>
      <c r="AL39" s="431"/>
      <c r="AM39" s="452"/>
      <c r="AN39" s="452"/>
      <c r="AO39" s="453">
        <v>18760</v>
      </c>
      <c r="AP39" s="453">
        <v>251200</v>
      </c>
      <c r="AQ39" s="456"/>
      <c r="AR39" s="456"/>
      <c r="AS39" s="450">
        <v>-262052</v>
      </c>
      <c r="AT39" s="450">
        <v>-482002</v>
      </c>
      <c r="AU39" s="431">
        <v>-7670157</v>
      </c>
      <c r="AV39" s="431">
        <v>-1419036</v>
      </c>
      <c r="AW39" s="440"/>
      <c r="AX39" s="431"/>
    </row>
    <row r="40" spans="1:50">
      <c r="A40" s="365" t="s">
        <v>230</v>
      </c>
      <c r="B40" s="438"/>
      <c r="C40" s="429"/>
      <c r="D40" s="784"/>
      <c r="E40" s="431"/>
      <c r="F40" s="431"/>
      <c r="G40" s="440"/>
      <c r="H40" s="431"/>
      <c r="I40" s="431"/>
      <c r="J40" s="431"/>
      <c r="K40" s="431"/>
      <c r="L40" s="431"/>
      <c r="M40" s="443"/>
      <c r="N40" s="443"/>
      <c r="O40" s="431"/>
      <c r="P40" s="431"/>
      <c r="Q40" s="446"/>
      <c r="R40" s="446"/>
      <c r="S40" s="1124"/>
      <c r="T40" s="431"/>
      <c r="U40" s="431"/>
      <c r="V40" s="431"/>
      <c r="W40" s="431"/>
      <c r="X40" s="431"/>
      <c r="Y40" s="431"/>
      <c r="Z40" s="431"/>
      <c r="AA40" s="449"/>
      <c r="AB40" s="449"/>
      <c r="AC40" s="431"/>
      <c r="AD40" s="431"/>
      <c r="AE40" s="431"/>
      <c r="AF40" s="431"/>
      <c r="AG40" s="431"/>
      <c r="AH40" s="431"/>
      <c r="AI40" s="431"/>
      <c r="AJ40" s="431"/>
      <c r="AK40" s="431"/>
      <c r="AL40" s="431"/>
      <c r="AM40" s="452"/>
      <c r="AN40" s="452"/>
      <c r="AO40" s="418"/>
      <c r="AP40" s="418"/>
      <c r="AQ40" s="456"/>
      <c r="AR40" s="456"/>
      <c r="AS40" s="450"/>
      <c r="AT40" s="450"/>
      <c r="AU40" s="431"/>
      <c r="AV40" s="431"/>
      <c r="AW40" s="440"/>
      <c r="AX40" s="431"/>
    </row>
    <row r="41" spans="1:50">
      <c r="A41" s="365" t="s">
        <v>231</v>
      </c>
      <c r="B41" s="438"/>
      <c r="C41" s="429">
        <f>-1086904+932009</f>
        <v>-154895</v>
      </c>
      <c r="D41" s="784">
        <v>20573027</v>
      </c>
      <c r="E41" s="431">
        <f>252821+76602</f>
        <v>329423</v>
      </c>
      <c r="F41" s="431">
        <f>468178+996499</f>
        <v>1464677</v>
      </c>
      <c r="G41" s="440"/>
      <c r="H41" s="431"/>
      <c r="I41" s="431">
        <v>-2027621</v>
      </c>
      <c r="J41" s="431">
        <v>25093615</v>
      </c>
      <c r="K41" s="431"/>
      <c r="L41" s="431"/>
      <c r="M41" s="443"/>
      <c r="N41" s="443"/>
      <c r="O41" s="431"/>
      <c r="P41" s="431"/>
      <c r="Q41" s="446">
        <v>23154</v>
      </c>
      <c r="R41" s="446"/>
      <c r="S41" s="1124"/>
      <c r="T41" s="431"/>
      <c r="U41" s="431"/>
      <c r="V41" s="431"/>
      <c r="W41" s="431">
        <v>-4849948</v>
      </c>
      <c r="X41" s="431">
        <v>72650411</v>
      </c>
      <c r="Y41" s="431">
        <v>4894132</v>
      </c>
      <c r="Z41" s="431">
        <v>1840997</v>
      </c>
      <c r="AA41" s="449"/>
      <c r="AB41" s="449"/>
      <c r="AC41" s="431">
        <v>78538</v>
      </c>
      <c r="AD41" s="431">
        <v>4334783</v>
      </c>
      <c r="AE41" s="431"/>
      <c r="AF41" s="431"/>
      <c r="AG41" s="431"/>
      <c r="AH41" s="431"/>
      <c r="AI41" s="431"/>
      <c r="AJ41" s="431"/>
      <c r="AK41" s="431"/>
      <c r="AL41" s="431"/>
      <c r="AM41" s="452"/>
      <c r="AN41" s="452"/>
      <c r="AO41" s="453">
        <v>24436519</v>
      </c>
      <c r="AP41" s="453">
        <v>80670200</v>
      </c>
      <c r="AQ41" s="456"/>
      <c r="AR41" s="456"/>
      <c r="AS41" s="450"/>
      <c r="AT41" s="450"/>
      <c r="AU41" s="431"/>
      <c r="AV41" s="431"/>
      <c r="AW41" s="440"/>
      <c r="AX41" s="431"/>
    </row>
    <row r="42" spans="1:50" ht="17.25">
      <c r="A42" s="365" t="s">
        <v>232</v>
      </c>
      <c r="B42" s="438"/>
      <c r="C42" s="430"/>
      <c r="D42" s="785"/>
      <c r="E42" s="432"/>
      <c r="F42" s="432"/>
      <c r="G42" s="441">
        <v>182190</v>
      </c>
      <c r="H42" s="432">
        <v>58071</v>
      </c>
      <c r="I42" s="432">
        <v>1667321</v>
      </c>
      <c r="J42" s="432">
        <v>3726370</v>
      </c>
      <c r="K42" s="432"/>
      <c r="L42" s="432"/>
      <c r="M42" s="444"/>
      <c r="N42" s="444"/>
      <c r="O42" s="432"/>
      <c r="P42" s="432"/>
      <c r="Q42" s="447">
        <v>267814</v>
      </c>
      <c r="R42" s="447"/>
      <c r="S42" s="1125"/>
      <c r="T42" s="432"/>
      <c r="U42" s="432"/>
      <c r="V42" s="432"/>
      <c r="W42" s="432">
        <v>4401239</v>
      </c>
      <c r="X42" s="432">
        <v>828442</v>
      </c>
      <c r="Y42" s="432">
        <v>11235562</v>
      </c>
      <c r="Z42" s="432">
        <v>129820362</v>
      </c>
      <c r="AA42" s="449"/>
      <c r="AB42" s="449"/>
      <c r="AC42" s="432">
        <v>304895</v>
      </c>
      <c r="AD42" s="432">
        <v>651313</v>
      </c>
      <c r="AE42" s="451"/>
      <c r="AF42" s="451"/>
      <c r="AG42" s="432">
        <v>1610938</v>
      </c>
      <c r="AH42" s="432">
        <v>2472714</v>
      </c>
      <c r="AI42" s="432"/>
      <c r="AJ42" s="432"/>
      <c r="AK42" s="432"/>
      <c r="AL42" s="432"/>
      <c r="AM42" s="452"/>
      <c r="AN42" s="452"/>
      <c r="AO42" s="453">
        <v>7721158</v>
      </c>
      <c r="AP42" s="453">
        <v>12795195</v>
      </c>
      <c r="AQ42" s="456"/>
      <c r="AR42" s="456"/>
      <c r="AS42" s="431">
        <v>81464</v>
      </c>
      <c r="AT42" s="431">
        <v>35872</v>
      </c>
      <c r="AU42" s="432"/>
      <c r="AV42" s="432"/>
      <c r="AW42" s="441">
        <v>18019</v>
      </c>
      <c r="AX42" s="432">
        <v>7701</v>
      </c>
    </row>
    <row r="43" spans="1:50" ht="17.25">
      <c r="A43" s="365" t="s">
        <v>270</v>
      </c>
      <c r="B43" s="438"/>
      <c r="C43" s="430"/>
      <c r="D43" s="785"/>
      <c r="E43" s="432"/>
      <c r="F43" s="432"/>
      <c r="G43" s="441"/>
      <c r="H43" s="432"/>
      <c r="I43" s="432"/>
      <c r="J43" s="432"/>
      <c r="K43" s="432"/>
      <c r="L43" s="432"/>
      <c r="M43" s="444"/>
      <c r="N43" s="444"/>
      <c r="O43" s="432"/>
      <c r="P43" s="432"/>
      <c r="Q43" s="447"/>
      <c r="R43" s="447"/>
      <c r="S43" s="1125"/>
      <c r="T43" s="432"/>
      <c r="U43" s="432"/>
      <c r="V43" s="432"/>
      <c r="W43" s="432"/>
      <c r="X43" s="432"/>
      <c r="Y43" s="432"/>
      <c r="Z43" s="432"/>
      <c r="AA43" s="449"/>
      <c r="AB43" s="449"/>
      <c r="AC43" s="432"/>
      <c r="AD43" s="432"/>
      <c r="AE43" s="451">
        <v>3046937</v>
      </c>
      <c r="AF43" s="451">
        <v>15043510</v>
      </c>
      <c r="AG43" s="432"/>
      <c r="AH43" s="432"/>
      <c r="AI43" s="432"/>
      <c r="AJ43" s="432"/>
      <c r="AK43" s="432"/>
      <c r="AL43" s="432"/>
      <c r="AM43" s="452"/>
      <c r="AN43" s="452"/>
      <c r="AO43" s="453"/>
      <c r="AP43" s="453"/>
      <c r="AQ43" s="456"/>
      <c r="AR43" s="456"/>
      <c r="AS43" s="431">
        <v>-276577</v>
      </c>
      <c r="AT43" s="431">
        <v>1655154</v>
      </c>
      <c r="AU43" s="432"/>
      <c r="AV43" s="432"/>
      <c r="AW43" s="441">
        <v>-8584821</v>
      </c>
      <c r="AX43" s="432">
        <v>22177001</v>
      </c>
    </row>
    <row r="44" spans="1:50" ht="17.25">
      <c r="A44" s="365" t="s">
        <v>272</v>
      </c>
      <c r="B44" s="438"/>
      <c r="C44" s="430"/>
      <c r="D44" s="785"/>
      <c r="E44" s="432"/>
      <c r="F44" s="432"/>
      <c r="G44" s="441"/>
      <c r="H44" s="432"/>
      <c r="I44" s="432">
        <v>-353794</v>
      </c>
      <c r="J44" s="432">
        <v>40083</v>
      </c>
      <c r="K44" s="432"/>
      <c r="L44" s="432"/>
      <c r="M44" s="444"/>
      <c r="N44" s="444"/>
      <c r="O44" s="432"/>
      <c r="P44" s="432"/>
      <c r="Q44" s="447"/>
      <c r="R44" s="447"/>
      <c r="S44" s="1125"/>
      <c r="T44" s="432"/>
      <c r="U44" s="432"/>
      <c r="V44" s="432"/>
      <c r="W44" s="432"/>
      <c r="X44" s="432"/>
      <c r="Y44" s="432"/>
      <c r="Z44" s="432"/>
      <c r="AA44" s="449"/>
      <c r="AB44" s="449"/>
      <c r="AC44" s="432"/>
      <c r="AD44" s="432"/>
      <c r="AE44" s="451"/>
      <c r="AF44" s="451"/>
      <c r="AG44" s="432"/>
      <c r="AH44" s="432"/>
      <c r="AI44" s="432"/>
      <c r="AJ44" s="432"/>
      <c r="AK44" s="432"/>
      <c r="AL44" s="432"/>
      <c r="AM44" s="452"/>
      <c r="AN44" s="452"/>
      <c r="AO44" s="453"/>
      <c r="AP44" s="453"/>
      <c r="AQ44" s="456"/>
      <c r="AR44" s="456"/>
      <c r="AS44" s="431"/>
      <c r="AT44" s="431"/>
      <c r="AU44" s="432"/>
      <c r="AV44" s="432"/>
      <c r="AW44" s="441"/>
      <c r="AX44" s="432"/>
    </row>
    <row r="45" spans="1:50" s="889" customFormat="1" ht="18">
      <c r="A45" s="877" t="s">
        <v>233</v>
      </c>
      <c r="B45" s="878"/>
      <c r="C45" s="879">
        <v>16866652</v>
      </c>
      <c r="D45" s="880">
        <v>36884163</v>
      </c>
      <c r="E45" s="881">
        <v>1006933</v>
      </c>
      <c r="F45" s="881">
        <v>1707480</v>
      </c>
      <c r="G45" s="882">
        <v>2676319</v>
      </c>
      <c r="H45" s="881">
        <v>5581761</v>
      </c>
      <c r="I45" s="881">
        <v>18341897</v>
      </c>
      <c r="J45" s="881">
        <v>43508600</v>
      </c>
      <c r="K45" s="881">
        <v>3309313</v>
      </c>
      <c r="L45" s="881">
        <v>4498297</v>
      </c>
      <c r="M45" s="883">
        <v>9182224</v>
      </c>
      <c r="N45" s="883">
        <v>18232586</v>
      </c>
      <c r="O45" s="881">
        <v>2438957</v>
      </c>
      <c r="P45" s="881">
        <v>1959722</v>
      </c>
      <c r="Q45" s="884">
        <v>1479545</v>
      </c>
      <c r="R45" s="884">
        <v>2507136</v>
      </c>
      <c r="S45" s="1126">
        <v>6683508</v>
      </c>
      <c r="T45" s="881">
        <v>7894763</v>
      </c>
      <c r="U45" s="881">
        <v>1690216</v>
      </c>
      <c r="V45" s="881">
        <v>1386610</v>
      </c>
      <c r="W45" s="881">
        <v>87814134</v>
      </c>
      <c r="X45" s="881">
        <v>132931376</v>
      </c>
      <c r="Y45" s="881">
        <v>68759393</v>
      </c>
      <c r="Z45" s="881">
        <v>175388605</v>
      </c>
      <c r="AA45" s="885">
        <v>3231168</v>
      </c>
      <c r="AB45" s="885">
        <v>4884842</v>
      </c>
      <c r="AC45" s="881">
        <v>8247685</v>
      </c>
      <c r="AD45" s="881">
        <v>10877117</v>
      </c>
      <c r="AE45" s="881">
        <v>17162826</v>
      </c>
      <c r="AF45" s="881">
        <v>24630337</v>
      </c>
      <c r="AG45" s="881">
        <v>30908538</v>
      </c>
      <c r="AH45" s="881">
        <v>51655728</v>
      </c>
      <c r="AI45" s="881">
        <v>9303556</v>
      </c>
      <c r="AJ45" s="881">
        <v>12918857</v>
      </c>
      <c r="AK45" s="881">
        <v>8684167</v>
      </c>
      <c r="AL45" s="881">
        <v>13654971</v>
      </c>
      <c r="AM45" s="886"/>
      <c r="AN45" s="886"/>
      <c r="AO45" s="887">
        <v>83101631</v>
      </c>
      <c r="AP45" s="887">
        <v>146448041</v>
      </c>
      <c r="AQ45" s="888">
        <v>1768406</v>
      </c>
      <c r="AR45" s="888">
        <v>2179383</v>
      </c>
      <c r="AS45" s="885">
        <v>3688641</v>
      </c>
      <c r="AT45" s="885">
        <v>6350850</v>
      </c>
      <c r="AU45" s="881">
        <v>15956370</v>
      </c>
      <c r="AV45" s="881">
        <v>33513929</v>
      </c>
      <c r="AW45" s="882">
        <v>1332927226</v>
      </c>
      <c r="AX45" s="881">
        <v>1220534851</v>
      </c>
    </row>
    <row r="46" spans="1:50" s="889" customFormat="1" ht="18">
      <c r="A46" s="877" t="s">
        <v>234</v>
      </c>
      <c r="B46" s="878"/>
      <c r="C46" s="879">
        <v>591507</v>
      </c>
      <c r="D46" s="880">
        <v>600271</v>
      </c>
      <c r="E46" s="881">
        <v>23676</v>
      </c>
      <c r="F46" s="881">
        <v>183792</v>
      </c>
      <c r="G46" s="882">
        <v>137798</v>
      </c>
      <c r="H46" s="881">
        <v>68657</v>
      </c>
      <c r="I46" s="881">
        <v>860517</v>
      </c>
      <c r="J46" s="881">
        <v>2672817</v>
      </c>
      <c r="K46" s="881">
        <v>-237821</v>
      </c>
      <c r="L46" s="881">
        <v>-287192</v>
      </c>
      <c r="M46" s="883">
        <v>333477</v>
      </c>
      <c r="N46" s="883">
        <v>599385</v>
      </c>
      <c r="O46" s="881">
        <v>433906</v>
      </c>
      <c r="P46" s="881">
        <v>629270</v>
      </c>
      <c r="Q46" s="884">
        <v>162968</v>
      </c>
      <c r="R46" s="884">
        <v>5557</v>
      </c>
      <c r="S46" s="1126">
        <v>60623</v>
      </c>
      <c r="T46" s="881">
        <v>91518</v>
      </c>
      <c r="U46" s="881">
        <v>177342</v>
      </c>
      <c r="V46" s="881"/>
      <c r="W46" s="881">
        <v>3784744</v>
      </c>
      <c r="X46" s="881">
        <v>2517527</v>
      </c>
      <c r="Y46" s="881">
        <v>4512186</v>
      </c>
      <c r="Z46" s="881">
        <v>6538448</v>
      </c>
      <c r="AA46" s="885">
        <v>451108</v>
      </c>
      <c r="AB46" s="885">
        <v>680639</v>
      </c>
      <c r="AC46" s="881">
        <v>172572</v>
      </c>
      <c r="AD46" s="881">
        <v>112158</v>
      </c>
      <c r="AE46" s="881">
        <v>1232108</v>
      </c>
      <c r="AF46" s="881">
        <v>1460833</v>
      </c>
      <c r="AG46" s="881">
        <v>1405908</v>
      </c>
      <c r="AH46" s="881">
        <v>-3737576</v>
      </c>
      <c r="AI46" s="881">
        <v>735701</v>
      </c>
      <c r="AJ46" s="881">
        <v>940775</v>
      </c>
      <c r="AK46" s="881">
        <v>723389</v>
      </c>
      <c r="AL46" s="881">
        <v>-283495</v>
      </c>
      <c r="AM46" s="886"/>
      <c r="AN46" s="886"/>
      <c r="AO46" s="887">
        <v>2780367</v>
      </c>
      <c r="AP46" s="887">
        <v>6098194</v>
      </c>
      <c r="AQ46" s="888">
        <v>87785</v>
      </c>
      <c r="AR46" s="888">
        <v>127602</v>
      </c>
      <c r="AS46" s="885">
        <v>-14774</v>
      </c>
      <c r="AT46" s="885">
        <v>97534</v>
      </c>
      <c r="AU46" s="881">
        <v>49820</v>
      </c>
      <c r="AV46" s="881">
        <v>182315</v>
      </c>
      <c r="AW46" s="882"/>
      <c r="AX46" s="881"/>
    </row>
    <row r="47" spans="1:50">
      <c r="A47" s="433" t="s">
        <v>301</v>
      </c>
      <c r="B47" s="438"/>
      <c r="C47" s="430"/>
      <c r="D47" s="785"/>
      <c r="E47" s="431"/>
      <c r="F47" s="431"/>
      <c r="G47" s="440"/>
      <c r="H47" s="431"/>
      <c r="I47" s="431">
        <v>49938</v>
      </c>
      <c r="J47" s="431">
        <v>104419</v>
      </c>
      <c r="K47" s="431"/>
      <c r="L47" s="431"/>
      <c r="M47" s="443"/>
      <c r="N47" s="443"/>
      <c r="O47" s="431"/>
      <c r="P47" s="431"/>
      <c r="Q47" s="447"/>
      <c r="R47" s="447"/>
      <c r="S47" s="1124"/>
      <c r="T47" s="431"/>
      <c r="U47" s="431"/>
      <c r="V47" s="431"/>
      <c r="W47" s="431"/>
      <c r="X47" s="431"/>
      <c r="Y47" s="431">
        <v>-291370</v>
      </c>
      <c r="Z47" s="431">
        <v>-226997</v>
      </c>
      <c r="AA47" s="450">
        <v>15751</v>
      </c>
      <c r="AB47" s="450">
        <v>26754</v>
      </c>
      <c r="AC47" s="431"/>
      <c r="AD47" s="431"/>
      <c r="AE47" s="431"/>
      <c r="AF47" s="431"/>
      <c r="AG47" s="431"/>
      <c r="AH47" s="431"/>
      <c r="AI47" s="431"/>
      <c r="AJ47" s="431"/>
      <c r="AK47" s="431"/>
      <c r="AL47" s="431"/>
      <c r="AM47" s="452"/>
      <c r="AN47" s="452"/>
      <c r="AO47" s="454"/>
      <c r="AP47" s="454"/>
      <c r="AQ47" s="456"/>
      <c r="AR47" s="456"/>
      <c r="AS47" s="450"/>
      <c r="AT47" s="450"/>
      <c r="AU47" s="431"/>
      <c r="AV47" s="431"/>
      <c r="AW47" s="440"/>
      <c r="AX47" s="431"/>
    </row>
    <row r="48" spans="1:50">
      <c r="A48" s="433" t="s">
        <v>235</v>
      </c>
      <c r="B48" s="438"/>
      <c r="C48" s="429"/>
      <c r="D48" s="784"/>
      <c r="E48" s="431"/>
      <c r="F48" s="431"/>
      <c r="G48" s="440"/>
      <c r="H48" s="431"/>
      <c r="I48" s="431"/>
      <c r="J48" s="431"/>
      <c r="K48" s="431"/>
      <c r="L48" s="431"/>
      <c r="M48" s="443"/>
      <c r="N48" s="443"/>
      <c r="O48" s="431"/>
      <c r="P48" s="431"/>
      <c r="Q48" s="446"/>
      <c r="R48" s="446"/>
      <c r="S48" s="1124"/>
      <c r="T48" s="431"/>
      <c r="U48" s="431"/>
      <c r="V48" s="431"/>
      <c r="W48" s="431"/>
      <c r="X48" s="431"/>
      <c r="Y48" s="431"/>
      <c r="Z48" s="431"/>
      <c r="AA48" s="450"/>
      <c r="AB48" s="450"/>
      <c r="AC48" s="431"/>
      <c r="AD48" s="431"/>
      <c r="AE48" s="431"/>
      <c r="AF48" s="431"/>
      <c r="AG48" s="431"/>
      <c r="AH48" s="431"/>
      <c r="AI48" s="431"/>
      <c r="AJ48" s="431"/>
      <c r="AK48" s="431"/>
      <c r="AL48" s="431"/>
      <c r="AM48" s="452"/>
      <c r="AN48" s="452"/>
      <c r="AO48" s="418"/>
      <c r="AP48" s="418"/>
      <c r="AQ48" s="456"/>
      <c r="AR48" s="456"/>
      <c r="AS48" s="450"/>
      <c r="AT48" s="450"/>
      <c r="AU48" s="431"/>
      <c r="AV48" s="431"/>
      <c r="AW48" s="440"/>
      <c r="AX48" s="431"/>
    </row>
    <row r="49" spans="1:50">
      <c r="A49" s="433" t="s">
        <v>276</v>
      </c>
      <c r="B49" s="438"/>
      <c r="C49" s="429"/>
      <c r="D49" s="784"/>
      <c r="E49" s="431"/>
      <c r="F49" s="431"/>
      <c r="G49" s="440"/>
      <c r="H49" s="431"/>
      <c r="I49" s="431"/>
      <c r="J49" s="431"/>
      <c r="K49" s="431"/>
      <c r="L49" s="431"/>
      <c r="M49" s="443"/>
      <c r="N49" s="443"/>
      <c r="O49" s="431"/>
      <c r="P49" s="431"/>
      <c r="Q49" s="446"/>
      <c r="R49" s="446"/>
      <c r="S49" s="1124"/>
      <c r="T49" s="431"/>
      <c r="U49" s="431"/>
      <c r="V49" s="431"/>
      <c r="W49" s="431"/>
      <c r="X49" s="431"/>
      <c r="Y49" s="431"/>
      <c r="Z49" s="431"/>
      <c r="AA49" s="450"/>
      <c r="AB49" s="450"/>
      <c r="AC49" s="431"/>
      <c r="AD49" s="431"/>
      <c r="AE49" s="431"/>
      <c r="AF49" s="431"/>
      <c r="AG49" s="431"/>
      <c r="AH49" s="431"/>
      <c r="AI49" s="431"/>
      <c r="AJ49" s="431"/>
      <c r="AK49" s="431"/>
      <c r="AL49" s="431"/>
      <c r="AM49" s="452"/>
      <c r="AN49" s="452"/>
      <c r="AO49" s="418"/>
      <c r="AP49" s="418"/>
      <c r="AQ49" s="456"/>
      <c r="AR49" s="456"/>
      <c r="AS49" s="450"/>
      <c r="AT49" s="450"/>
      <c r="AU49" s="431"/>
      <c r="AV49" s="431"/>
      <c r="AW49" s="440"/>
      <c r="AX49" s="431"/>
    </row>
    <row r="50" spans="1:50">
      <c r="A50" s="365" t="s">
        <v>236</v>
      </c>
      <c r="B50" s="438"/>
      <c r="C50" s="429"/>
      <c r="D50" s="784"/>
      <c r="E50" s="431"/>
      <c r="F50" s="431"/>
      <c r="G50" s="440"/>
      <c r="H50" s="431"/>
      <c r="I50" s="431"/>
      <c r="J50" s="431"/>
      <c r="K50" s="431"/>
      <c r="L50" s="431"/>
      <c r="M50" s="443"/>
      <c r="N50" s="443"/>
      <c r="O50" s="431"/>
      <c r="P50" s="431"/>
      <c r="Q50" s="446"/>
      <c r="R50" s="446"/>
      <c r="S50" s="1124"/>
      <c r="T50" s="431"/>
      <c r="U50" s="431"/>
      <c r="V50" s="431"/>
      <c r="W50" s="431"/>
      <c r="X50" s="431"/>
      <c r="Y50" s="431"/>
      <c r="Z50" s="431"/>
      <c r="AA50" s="450"/>
      <c r="AB50" s="450"/>
      <c r="AC50" s="431"/>
      <c r="AD50" s="431"/>
      <c r="AE50" s="431"/>
      <c r="AF50" s="431"/>
      <c r="AG50" s="431"/>
      <c r="AH50" s="431"/>
      <c r="AI50" s="431"/>
      <c r="AJ50" s="431"/>
      <c r="AK50" s="431"/>
      <c r="AL50" s="431"/>
      <c r="AM50" s="452"/>
      <c r="AN50" s="452"/>
      <c r="AO50" s="453"/>
      <c r="AP50" s="453"/>
      <c r="AQ50" s="456"/>
      <c r="AR50" s="456"/>
      <c r="AS50" s="450"/>
      <c r="AT50" s="450"/>
      <c r="AU50" s="431"/>
      <c r="AV50" s="431"/>
      <c r="AW50" s="440"/>
      <c r="AX50" s="431"/>
    </row>
    <row r="51" spans="1:50" ht="17.25">
      <c r="A51" s="433" t="s">
        <v>146</v>
      </c>
      <c r="B51" s="438"/>
      <c r="C51" s="430"/>
      <c r="D51" s="785"/>
      <c r="E51" s="432"/>
      <c r="F51" s="432"/>
      <c r="G51" s="441"/>
      <c r="H51" s="432"/>
      <c r="I51" s="432"/>
      <c r="J51" s="432"/>
      <c r="K51" s="432"/>
      <c r="L51" s="432"/>
      <c r="M51" s="444"/>
      <c r="N51" s="444"/>
      <c r="O51" s="432"/>
      <c r="P51" s="432"/>
      <c r="Q51" s="447"/>
      <c r="R51" s="447"/>
      <c r="S51" s="1125"/>
      <c r="T51" s="432"/>
      <c r="U51" s="432"/>
      <c r="V51" s="432"/>
      <c r="W51" s="432"/>
      <c r="X51" s="432"/>
      <c r="Y51" s="432"/>
      <c r="Z51" s="432"/>
      <c r="AA51" s="431"/>
      <c r="AB51" s="431"/>
      <c r="AC51" s="432"/>
      <c r="AD51" s="432"/>
      <c r="AE51" s="451"/>
      <c r="AF51" s="451"/>
      <c r="AG51" s="432"/>
      <c r="AH51" s="432"/>
      <c r="AI51" s="432"/>
      <c r="AJ51" s="432"/>
      <c r="AK51" s="432"/>
      <c r="AL51" s="432"/>
      <c r="AM51" s="452"/>
      <c r="AN51" s="452"/>
      <c r="AO51" s="418"/>
      <c r="AP51" s="418"/>
      <c r="AQ51" s="456"/>
      <c r="AR51" s="456"/>
      <c r="AS51" s="431"/>
      <c r="AT51" s="431"/>
      <c r="AU51" s="432"/>
      <c r="AV51" s="432"/>
      <c r="AW51" s="441"/>
      <c r="AX51" s="432"/>
    </row>
    <row r="52" spans="1:50">
      <c r="A52" s="365" t="s">
        <v>237</v>
      </c>
      <c r="B52" s="438"/>
      <c r="C52" s="429">
        <v>579695</v>
      </c>
      <c r="D52" s="784">
        <v>609097</v>
      </c>
      <c r="E52" s="431"/>
      <c r="F52" s="431"/>
      <c r="G52" s="440"/>
      <c r="H52" s="431"/>
      <c r="I52" s="431">
        <v>48519</v>
      </c>
      <c r="J52" s="431">
        <v>1217864</v>
      </c>
      <c r="K52" s="431">
        <v>-394968</v>
      </c>
      <c r="L52" s="431">
        <v>-376303</v>
      </c>
      <c r="M52" s="443"/>
      <c r="N52" s="443"/>
      <c r="O52" s="431">
        <v>475635</v>
      </c>
      <c r="P52" s="431">
        <v>573354</v>
      </c>
      <c r="Q52" s="448">
        <v>161439</v>
      </c>
      <c r="R52" s="448"/>
      <c r="S52" s="1124"/>
      <c r="T52" s="431"/>
      <c r="U52" s="431"/>
      <c r="V52" s="431"/>
      <c r="W52" s="431">
        <v>3503306</v>
      </c>
      <c r="X52" s="431">
        <v>3468822</v>
      </c>
      <c r="Y52" s="431">
        <v>3688798</v>
      </c>
      <c r="Z52" s="431">
        <v>6461412</v>
      </c>
      <c r="AA52" s="450"/>
      <c r="AB52" s="450"/>
      <c r="AC52" s="431">
        <v>55024</v>
      </c>
      <c r="AD52" s="431">
        <v>55259</v>
      </c>
      <c r="AE52" s="431"/>
      <c r="AF52" s="431"/>
      <c r="AG52" s="431">
        <v>583415</v>
      </c>
      <c r="AH52" s="431">
        <v>1131133</v>
      </c>
      <c r="AI52" s="431">
        <v>107144</v>
      </c>
      <c r="AJ52" s="431">
        <v>300127</v>
      </c>
      <c r="AK52" s="431"/>
      <c r="AL52" s="431"/>
      <c r="AM52" s="452"/>
      <c r="AN52" s="452"/>
      <c r="AO52" s="453">
        <v>2154956</v>
      </c>
      <c r="AP52" s="453">
        <v>2822255</v>
      </c>
      <c r="AQ52" s="456"/>
      <c r="AR52" s="456"/>
      <c r="AS52" s="450">
        <v>219563</v>
      </c>
      <c r="AT52" s="450">
        <v>474746</v>
      </c>
      <c r="AU52" s="431"/>
      <c r="AV52" s="431"/>
      <c r="AW52" s="440"/>
      <c r="AX52" s="431"/>
    </row>
    <row r="53" spans="1:50">
      <c r="A53" s="365" t="s">
        <v>268</v>
      </c>
      <c r="B53" s="438"/>
      <c r="C53" s="429"/>
      <c r="D53" s="784"/>
      <c r="E53" s="431">
        <v>-66145</v>
      </c>
      <c r="F53" s="431">
        <v>70105</v>
      </c>
      <c r="G53" s="440">
        <v>109308</v>
      </c>
      <c r="H53" s="431">
        <v>20986</v>
      </c>
      <c r="I53" s="431"/>
      <c r="J53" s="431"/>
      <c r="K53" s="431"/>
      <c r="L53" s="431"/>
      <c r="M53" s="443">
        <v>213236</v>
      </c>
      <c r="N53" s="443">
        <v>533449</v>
      </c>
      <c r="O53" s="431"/>
      <c r="P53" s="431"/>
      <c r="Q53" s="448"/>
      <c r="R53" s="448">
        <v>5262</v>
      </c>
      <c r="S53" s="1124">
        <v>60623</v>
      </c>
      <c r="T53" s="431"/>
      <c r="U53" s="431">
        <v>149903</v>
      </c>
      <c r="V53" s="431"/>
      <c r="W53" s="431"/>
      <c r="X53" s="431"/>
      <c r="Y53" s="431"/>
      <c r="Z53" s="431"/>
      <c r="AA53" s="450">
        <v>-425</v>
      </c>
      <c r="AB53" s="450">
        <v>-14020</v>
      </c>
      <c r="AC53" s="431"/>
      <c r="AD53" s="431">
        <v>-77431</v>
      </c>
      <c r="AE53" s="431"/>
      <c r="AF53" s="431"/>
      <c r="AG53" s="431"/>
      <c r="AH53" s="431"/>
      <c r="AI53" s="431"/>
      <c r="AJ53" s="431"/>
      <c r="AK53" s="431"/>
      <c r="AL53" s="431"/>
      <c r="AM53" s="452"/>
      <c r="AN53" s="452"/>
      <c r="AO53" s="453"/>
      <c r="AP53" s="453"/>
      <c r="AQ53" s="456"/>
      <c r="AR53" s="456"/>
      <c r="AS53" s="450"/>
      <c r="AT53" s="450"/>
      <c r="AU53" s="431"/>
      <c r="AV53" s="431"/>
      <c r="AW53" s="440"/>
      <c r="AX53" s="431"/>
    </row>
    <row r="54" spans="1:50">
      <c r="A54" s="365" t="s">
        <v>238</v>
      </c>
      <c r="B54" s="438"/>
      <c r="C54" s="429"/>
      <c r="D54" s="784"/>
      <c r="E54" s="431"/>
      <c r="F54" s="431"/>
      <c r="G54" s="440"/>
      <c r="H54" s="431"/>
      <c r="I54" s="431"/>
      <c r="J54" s="431"/>
      <c r="K54" s="431"/>
      <c r="L54" s="431"/>
      <c r="M54" s="443"/>
      <c r="N54" s="443"/>
      <c r="O54" s="431"/>
      <c r="P54" s="431"/>
      <c r="Q54" s="448"/>
      <c r="R54" s="448"/>
      <c r="S54" s="1124"/>
      <c r="T54" s="431"/>
      <c r="U54" s="431"/>
      <c r="V54" s="431"/>
      <c r="W54" s="431"/>
      <c r="X54" s="431"/>
      <c r="Y54" s="431"/>
      <c r="Z54" s="431"/>
      <c r="AA54" s="450"/>
      <c r="AB54" s="450"/>
      <c r="AC54" s="431"/>
      <c r="AD54" s="431"/>
      <c r="AE54" s="431"/>
      <c r="AF54" s="431"/>
      <c r="AG54" s="431"/>
      <c r="AH54" s="431"/>
      <c r="AI54" s="431"/>
      <c r="AJ54" s="431"/>
      <c r="AK54" s="431"/>
      <c r="AL54" s="431"/>
      <c r="AM54" s="452"/>
      <c r="AN54" s="452"/>
      <c r="AO54" s="418"/>
      <c r="AP54" s="418"/>
      <c r="AQ54" s="456"/>
      <c r="AR54" s="456"/>
      <c r="AS54" s="450"/>
      <c r="AT54" s="450"/>
      <c r="AU54" s="431"/>
      <c r="AV54" s="431"/>
      <c r="AW54" s="440"/>
      <c r="AX54" s="431"/>
    </row>
    <row r="55" spans="1:50">
      <c r="A55" s="365" t="s">
        <v>239</v>
      </c>
      <c r="B55" s="438"/>
      <c r="C55" s="429">
        <v>11812</v>
      </c>
      <c r="D55" s="784">
        <v>-8826</v>
      </c>
      <c r="E55" s="431">
        <v>89821</v>
      </c>
      <c r="F55" s="431">
        <v>113687</v>
      </c>
      <c r="G55" s="440">
        <v>28490</v>
      </c>
      <c r="H55" s="431">
        <v>47671</v>
      </c>
      <c r="I55" s="431">
        <v>762060</v>
      </c>
      <c r="J55" s="431">
        <v>1350534</v>
      </c>
      <c r="K55" s="431">
        <v>157147</v>
      </c>
      <c r="L55" s="431">
        <v>89111</v>
      </c>
      <c r="M55" s="443">
        <v>120241</v>
      </c>
      <c r="N55" s="443">
        <v>65936</v>
      </c>
      <c r="O55" s="431">
        <v>-41729</v>
      </c>
      <c r="P55" s="431">
        <v>55916</v>
      </c>
      <c r="Q55" s="448">
        <v>1529</v>
      </c>
      <c r="R55" s="448">
        <v>295</v>
      </c>
      <c r="S55" s="1124"/>
      <c r="T55" s="431">
        <v>91518</v>
      </c>
      <c r="U55" s="431">
        <v>27439</v>
      </c>
      <c r="V55" s="431"/>
      <c r="W55" s="431">
        <v>261438</v>
      </c>
      <c r="X55" s="431">
        <v>-951295</v>
      </c>
      <c r="Y55" s="431">
        <v>532020</v>
      </c>
      <c r="Z55" s="431">
        <v>-149961</v>
      </c>
      <c r="AA55" s="450">
        <v>435782</v>
      </c>
      <c r="AB55" s="450">
        <v>547905</v>
      </c>
      <c r="AC55" s="431">
        <v>117547</v>
      </c>
      <c r="AD55" s="431">
        <v>134330</v>
      </c>
      <c r="AE55" s="431">
        <v>1232108</v>
      </c>
      <c r="AF55" s="431">
        <v>1460833</v>
      </c>
      <c r="AG55" s="431">
        <v>22497702</v>
      </c>
      <c r="AH55" s="431">
        <v>-4554675</v>
      </c>
      <c r="AI55" s="431">
        <v>628557</v>
      </c>
      <c r="AJ55" s="431">
        <v>640648</v>
      </c>
      <c r="AK55" s="431">
        <v>723389</v>
      </c>
      <c r="AL55" s="431">
        <v>-283495</v>
      </c>
      <c r="AM55" s="452"/>
      <c r="AN55" s="452"/>
      <c r="AO55" s="453">
        <v>3441617</v>
      </c>
      <c r="AP55" s="453">
        <v>3275940</v>
      </c>
      <c r="AQ55" s="456">
        <v>169418</v>
      </c>
      <c r="AR55" s="456">
        <v>440318</v>
      </c>
      <c r="AS55" s="450">
        <v>57910</v>
      </c>
      <c r="AT55" s="450">
        <v>120405</v>
      </c>
      <c r="AU55" s="431">
        <v>49820</v>
      </c>
      <c r="AV55" s="431">
        <v>182315</v>
      </c>
      <c r="AW55" s="440"/>
      <c r="AX55" s="431"/>
    </row>
    <row r="56" spans="1:50" s="889" customFormat="1" ht="18">
      <c r="A56" s="877" t="s">
        <v>302</v>
      </c>
      <c r="B56" s="878"/>
      <c r="C56" s="879">
        <f>C46</f>
        <v>591507</v>
      </c>
      <c r="D56" s="879">
        <v>600271</v>
      </c>
      <c r="E56" s="879">
        <f>E46</f>
        <v>23676</v>
      </c>
      <c r="F56" s="879">
        <v>183792</v>
      </c>
      <c r="G56" s="879">
        <f>G46</f>
        <v>137798</v>
      </c>
      <c r="H56" s="879">
        <v>68657</v>
      </c>
      <c r="I56" s="879">
        <v>810579</v>
      </c>
      <c r="J56" s="879">
        <v>2568398</v>
      </c>
      <c r="K56" s="879">
        <f>K46</f>
        <v>-237821</v>
      </c>
      <c r="L56" s="879">
        <v>-287192</v>
      </c>
      <c r="M56" s="879">
        <f>M46</f>
        <v>333477</v>
      </c>
      <c r="N56" s="879">
        <v>599385</v>
      </c>
      <c r="O56" s="879">
        <f>O46</f>
        <v>433906</v>
      </c>
      <c r="P56" s="879">
        <v>629270</v>
      </c>
      <c r="Q56" s="879">
        <f>Q46</f>
        <v>162968</v>
      </c>
      <c r="R56" s="879">
        <v>5557</v>
      </c>
      <c r="S56" s="1127">
        <f>S46</f>
        <v>60623</v>
      </c>
      <c r="T56" s="879">
        <v>91518</v>
      </c>
      <c r="U56" s="879">
        <f>U46</f>
        <v>177342</v>
      </c>
      <c r="V56" s="879"/>
      <c r="W56" s="879">
        <f>W46</f>
        <v>3784744</v>
      </c>
      <c r="X56" s="879">
        <v>2517527</v>
      </c>
      <c r="Y56" s="879">
        <v>4220818</v>
      </c>
      <c r="Z56" s="879">
        <v>6311451</v>
      </c>
      <c r="AA56" s="879">
        <v>435357</v>
      </c>
      <c r="AB56" s="879">
        <v>633886</v>
      </c>
      <c r="AC56" s="879">
        <f>AC46</f>
        <v>172572</v>
      </c>
      <c r="AD56" s="879">
        <v>112158</v>
      </c>
      <c r="AE56" s="879">
        <f>AE46</f>
        <v>1232108</v>
      </c>
      <c r="AF56" s="879">
        <v>1460833</v>
      </c>
      <c r="AG56" s="879">
        <f>AG46</f>
        <v>1405908</v>
      </c>
      <c r="AH56" s="879"/>
      <c r="AI56" s="879">
        <f>AI46</f>
        <v>735701</v>
      </c>
      <c r="AJ56" s="879">
        <v>940775</v>
      </c>
      <c r="AK56" s="879">
        <f>AK46</f>
        <v>723389</v>
      </c>
      <c r="AL56" s="879">
        <v>-283495</v>
      </c>
      <c r="AM56" s="879">
        <f>AM46</f>
        <v>0</v>
      </c>
      <c r="AN56" s="879"/>
      <c r="AO56" s="879">
        <f>AO46</f>
        <v>2780367</v>
      </c>
      <c r="AP56" s="879">
        <v>6098194</v>
      </c>
      <c r="AQ56" s="879">
        <f>AQ46</f>
        <v>87785</v>
      </c>
      <c r="AR56" s="879">
        <v>440318</v>
      </c>
      <c r="AS56" s="879">
        <v>277472</v>
      </c>
      <c r="AT56" s="879">
        <v>595151</v>
      </c>
      <c r="AU56" s="879">
        <f>AU46</f>
        <v>49820</v>
      </c>
      <c r="AV56" s="879">
        <v>182315</v>
      </c>
      <c r="AW56" s="882"/>
      <c r="AX56" s="881"/>
    </row>
    <row r="57" spans="1:50" ht="17.25">
      <c r="A57" s="365" t="s">
        <v>240</v>
      </c>
      <c r="B57" s="438"/>
      <c r="C57" s="430">
        <f>9779+291</f>
        <v>10070</v>
      </c>
      <c r="D57" s="785">
        <f>21014+154</f>
        <v>21168</v>
      </c>
      <c r="E57" s="432">
        <v>394</v>
      </c>
      <c r="F57" s="432">
        <v>51</v>
      </c>
      <c r="G57" s="441">
        <v>5351</v>
      </c>
      <c r="H57" s="432">
        <v>791</v>
      </c>
      <c r="I57" s="432">
        <v>172894</v>
      </c>
      <c r="J57" s="432">
        <v>302074</v>
      </c>
      <c r="K57" s="432"/>
      <c r="L57" s="432"/>
      <c r="M57" s="444">
        <v>4574</v>
      </c>
      <c r="N57" s="444"/>
      <c r="O57" s="432">
        <v>47</v>
      </c>
      <c r="P57" s="432">
        <v>28</v>
      </c>
      <c r="Q57" s="111">
        <v>70</v>
      </c>
      <c r="R57" s="111"/>
      <c r="S57" s="1125"/>
      <c r="T57" s="432"/>
      <c r="U57" s="432">
        <f>1850+2068</f>
        <v>3918</v>
      </c>
      <c r="V57" s="432">
        <f>1255+1149</f>
        <v>2404</v>
      </c>
      <c r="W57" s="432">
        <f>162811+1303094</f>
        <v>1465905</v>
      </c>
      <c r="X57" s="432">
        <f>181884+1288545</f>
        <v>1470429</v>
      </c>
      <c r="Y57" s="432"/>
      <c r="Z57" s="432"/>
      <c r="AA57" s="449"/>
      <c r="AB57" s="449"/>
      <c r="AC57" s="432"/>
      <c r="AD57" s="432"/>
      <c r="AE57" s="451">
        <v>42442</v>
      </c>
      <c r="AF57" s="451">
        <v>54610</v>
      </c>
      <c r="AG57" s="432">
        <v>3489</v>
      </c>
      <c r="AH57" s="432">
        <v>3111</v>
      </c>
      <c r="AI57" s="432">
        <v>9200</v>
      </c>
      <c r="AJ57" s="432">
        <v>9749</v>
      </c>
      <c r="AK57" s="432">
        <v>1303</v>
      </c>
      <c r="AL57" s="432">
        <v>401</v>
      </c>
      <c r="AM57" s="452"/>
      <c r="AN57" s="452"/>
      <c r="AO57" s="453">
        <v>66195</v>
      </c>
      <c r="AP57" s="453">
        <v>103230</v>
      </c>
      <c r="AQ57" s="456">
        <v>1225</v>
      </c>
      <c r="AR57" s="456">
        <v>673</v>
      </c>
      <c r="AS57" s="431">
        <v>2</v>
      </c>
      <c r="AT57" s="431">
        <v>2</v>
      </c>
      <c r="AU57" s="432"/>
      <c r="AV57" s="432"/>
      <c r="AW57" s="441"/>
      <c r="AX57" s="432"/>
    </row>
    <row r="58" spans="1:50">
      <c r="A58" s="365" t="s">
        <v>241</v>
      </c>
      <c r="B58" s="438"/>
      <c r="C58" s="429"/>
      <c r="D58" s="784"/>
      <c r="E58" s="431"/>
      <c r="F58" s="431"/>
      <c r="G58" s="440"/>
      <c r="H58" s="431"/>
      <c r="I58" s="431"/>
      <c r="J58" s="431"/>
      <c r="K58" s="431"/>
      <c r="L58" s="431"/>
      <c r="M58" s="443"/>
      <c r="N58" s="443">
        <v>5460</v>
      </c>
      <c r="O58" s="431"/>
      <c r="P58" s="431"/>
      <c r="Q58" s="448"/>
      <c r="R58" s="448"/>
      <c r="S58" s="1124"/>
      <c r="T58" s="431"/>
      <c r="U58" s="431"/>
      <c r="V58" s="431"/>
      <c r="W58" s="431"/>
      <c r="X58" s="431"/>
      <c r="Y58" s="431"/>
      <c r="Z58" s="431"/>
      <c r="AA58" s="450"/>
      <c r="AB58" s="450"/>
      <c r="AC58" s="431"/>
      <c r="AD58" s="431"/>
      <c r="AE58" s="431"/>
      <c r="AF58" s="431"/>
      <c r="AG58" s="431">
        <v>12288547</v>
      </c>
      <c r="AH58" s="431">
        <v>12966407</v>
      </c>
      <c r="AI58" s="431"/>
      <c r="AJ58" s="431"/>
      <c r="AK58" s="431"/>
      <c r="AL58" s="431"/>
      <c r="AM58" s="452"/>
      <c r="AN58" s="452"/>
      <c r="AO58" s="418"/>
      <c r="AP58" s="418"/>
      <c r="AQ58" s="456">
        <v>711814</v>
      </c>
      <c r="AR58" s="456">
        <v>818523</v>
      </c>
      <c r="AS58" s="450"/>
      <c r="AT58" s="450"/>
      <c r="AU58" s="431"/>
      <c r="AV58" s="431"/>
      <c r="AW58" s="440"/>
      <c r="AX58" s="431"/>
    </row>
    <row r="59" spans="1:50" ht="17.25" thickBot="1">
      <c r="A59" s="652" t="s">
        <v>242</v>
      </c>
      <c r="B59" s="653"/>
      <c r="C59" s="654">
        <v>591507</v>
      </c>
      <c r="D59" s="786">
        <v>600271</v>
      </c>
      <c r="E59" s="655">
        <v>23676</v>
      </c>
      <c r="F59" s="655">
        <v>183792</v>
      </c>
      <c r="G59" s="656">
        <v>137798</v>
      </c>
      <c r="H59" s="655">
        <v>68657</v>
      </c>
      <c r="I59" s="655">
        <v>762060</v>
      </c>
      <c r="J59" s="655">
        <v>2568398</v>
      </c>
      <c r="K59" s="655"/>
      <c r="L59" s="655"/>
      <c r="M59" s="657">
        <v>333477</v>
      </c>
      <c r="N59" s="657">
        <v>599385</v>
      </c>
      <c r="O59" s="655">
        <v>433906</v>
      </c>
      <c r="P59" s="655">
        <v>629270</v>
      </c>
      <c r="Q59" s="658">
        <v>162968</v>
      </c>
      <c r="R59" s="658"/>
      <c r="S59" s="1128"/>
      <c r="T59" s="655"/>
      <c r="U59" s="655">
        <v>177342</v>
      </c>
      <c r="V59" s="655"/>
      <c r="W59" s="655">
        <v>3764744</v>
      </c>
      <c r="X59" s="655">
        <v>2517527</v>
      </c>
      <c r="Y59" s="655"/>
      <c r="Z59" s="655"/>
      <c r="AA59" s="659"/>
      <c r="AB59" s="659"/>
      <c r="AC59" s="655"/>
      <c r="AD59" s="655"/>
      <c r="AE59" s="655">
        <v>1232108</v>
      </c>
      <c r="AF59" s="655">
        <v>1460833</v>
      </c>
      <c r="AG59" s="655">
        <v>23903610</v>
      </c>
      <c r="AH59" s="655">
        <v>27538759</v>
      </c>
      <c r="AI59" s="655">
        <v>735701</v>
      </c>
      <c r="AJ59" s="655">
        <v>940775</v>
      </c>
      <c r="AK59" s="655">
        <v>723389</v>
      </c>
      <c r="AL59" s="655">
        <v>-283495</v>
      </c>
      <c r="AM59" s="660"/>
      <c r="AN59" s="660"/>
      <c r="AO59" s="661">
        <v>2780367</v>
      </c>
      <c r="AP59" s="661">
        <v>6098194</v>
      </c>
      <c r="AQ59" s="662">
        <v>87785</v>
      </c>
      <c r="AR59" s="662">
        <v>127602</v>
      </c>
      <c r="AS59" s="659">
        <v>-14774</v>
      </c>
      <c r="AT59" s="659">
        <v>97534</v>
      </c>
      <c r="AU59" s="662">
        <v>49820</v>
      </c>
      <c r="AV59" s="662">
        <v>182315</v>
      </c>
      <c r="AW59" s="656"/>
      <c r="AX59" s="655"/>
    </row>
    <row r="60" spans="1:50" s="889" customFormat="1" ht="18.75" thickBot="1">
      <c r="A60" s="890" t="s">
        <v>243</v>
      </c>
      <c r="B60" s="891"/>
      <c r="C60" s="892">
        <v>601577</v>
      </c>
      <c r="D60" s="893">
        <v>621439</v>
      </c>
      <c r="E60" s="894">
        <v>24070</v>
      </c>
      <c r="F60" s="894">
        <v>183842</v>
      </c>
      <c r="G60" s="895">
        <v>143149</v>
      </c>
      <c r="H60" s="894">
        <v>69448</v>
      </c>
      <c r="I60" s="894">
        <v>934954</v>
      </c>
      <c r="J60" s="894">
        <v>2870472</v>
      </c>
      <c r="K60" s="894"/>
      <c r="L60" s="894"/>
      <c r="M60" s="896">
        <v>338051</v>
      </c>
      <c r="N60" s="896">
        <v>604845</v>
      </c>
      <c r="O60" s="894">
        <v>433953</v>
      </c>
      <c r="P60" s="894">
        <v>629298</v>
      </c>
      <c r="Q60" s="897">
        <v>163038</v>
      </c>
      <c r="R60" s="897"/>
      <c r="S60" s="1129"/>
      <c r="T60" s="894"/>
      <c r="U60" s="894">
        <v>181260</v>
      </c>
      <c r="V60" s="894">
        <v>2404</v>
      </c>
      <c r="W60" s="894">
        <v>5230649</v>
      </c>
      <c r="X60" s="894">
        <v>3987956</v>
      </c>
      <c r="Y60" s="894"/>
      <c r="Z60" s="894"/>
      <c r="AA60" s="898"/>
      <c r="AB60" s="898"/>
      <c r="AC60" s="894"/>
      <c r="AD60" s="894"/>
      <c r="AE60" s="894">
        <v>1274550</v>
      </c>
      <c r="AF60" s="894">
        <v>1515443</v>
      </c>
      <c r="AG60" s="894">
        <v>36195646</v>
      </c>
      <c r="AH60" s="894">
        <v>40508277</v>
      </c>
      <c r="AI60" s="894">
        <v>744901</v>
      </c>
      <c r="AJ60" s="894">
        <v>950524</v>
      </c>
      <c r="AK60" s="894">
        <v>724692</v>
      </c>
      <c r="AL60" s="894">
        <v>-283094</v>
      </c>
      <c r="AM60" s="899"/>
      <c r="AN60" s="899"/>
      <c r="AO60" s="900">
        <v>2848582</v>
      </c>
      <c r="AP60" s="900">
        <v>6201426</v>
      </c>
      <c r="AQ60" s="901">
        <v>800824</v>
      </c>
      <c r="AR60" s="901">
        <v>946798</v>
      </c>
      <c r="AS60" s="898">
        <v>-14772</v>
      </c>
      <c r="AT60" s="898">
        <v>97536</v>
      </c>
      <c r="AU60" s="894">
        <v>49820</v>
      </c>
      <c r="AV60" s="894">
        <v>182315</v>
      </c>
      <c r="AW60" s="895"/>
      <c r="AX60" s="894"/>
    </row>
  </sheetData>
  <mergeCells count="26">
    <mergeCell ref="A1:AX1"/>
    <mergeCell ref="A2:A3"/>
    <mergeCell ref="C2:D2"/>
    <mergeCell ref="E2:F2"/>
    <mergeCell ref="G2:H2"/>
    <mergeCell ref="I2:J2"/>
    <mergeCell ref="K2:L2"/>
    <mergeCell ref="M2:N2"/>
    <mergeCell ref="O2:P2"/>
    <mergeCell ref="Q2:R2"/>
    <mergeCell ref="Y2:Z2"/>
    <mergeCell ref="W2:X2"/>
    <mergeCell ref="U2:V2"/>
    <mergeCell ref="S2:T2"/>
    <mergeCell ref="AG2:AH2"/>
    <mergeCell ref="AE2:AF2"/>
    <mergeCell ref="AC2:AD2"/>
    <mergeCell ref="AA2:AB2"/>
    <mergeCell ref="AU2:AV2"/>
    <mergeCell ref="AW2:AX2"/>
    <mergeCell ref="AI2:AJ2"/>
    <mergeCell ref="AK2:AL2"/>
    <mergeCell ref="AM2:AN2"/>
    <mergeCell ref="AO2:AP2"/>
    <mergeCell ref="AQ2:AR2"/>
    <mergeCell ref="AS2:AT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2"/>
  <sheetViews>
    <sheetView topLeftCell="A2" workbookViewId="0">
      <pane xSplit="1" topLeftCell="F1" activePane="topRight" state="frozen"/>
      <selection pane="topRight" activeCell="F15" sqref="F15"/>
    </sheetView>
    <sheetView workbookViewId="1">
      <pane xSplit="1" topLeftCell="M1" activePane="topRight" state="frozen"/>
      <selection activeCell="A2" sqref="A2"/>
      <selection pane="topRight" activeCell="C7" sqref="C7"/>
    </sheetView>
  </sheetViews>
  <sheetFormatPr defaultRowHeight="16.5"/>
  <cols>
    <col min="1" max="1" width="51.28515625" style="94" bestFit="1" customWidth="1"/>
    <col min="2" max="2" width="10.42578125" style="94" bestFit="1" customWidth="1"/>
    <col min="3" max="3" width="13.85546875" style="94" bestFit="1" customWidth="1"/>
    <col min="4" max="4" width="10.7109375" style="94" bestFit="1" customWidth="1"/>
    <col min="5" max="5" width="10.5703125" style="94" bestFit="1" customWidth="1"/>
    <col min="6" max="6" width="10.42578125" style="94" bestFit="1" customWidth="1"/>
    <col min="7" max="7" width="13.85546875" style="94" bestFit="1" customWidth="1"/>
    <col min="8" max="8" width="12.140625" style="94" bestFit="1" customWidth="1"/>
    <col min="9" max="10" width="10.42578125" style="94" bestFit="1" customWidth="1"/>
    <col min="11" max="11" width="12.140625" style="94" bestFit="1" customWidth="1"/>
    <col min="12" max="12" width="10.42578125" style="94" bestFit="1" customWidth="1"/>
    <col min="13" max="13" width="12.140625" style="94" bestFit="1" customWidth="1"/>
    <col min="14" max="15" width="10.42578125" style="94" bestFit="1" customWidth="1"/>
    <col min="16" max="16" width="11.7109375" style="94" bestFit="1" customWidth="1"/>
    <col min="17" max="17" width="10.42578125" style="94" bestFit="1" customWidth="1"/>
    <col min="18" max="18" width="11" style="94" bestFit="1" customWidth="1"/>
    <col min="19" max="22" width="10.42578125" style="94" bestFit="1" customWidth="1"/>
    <col min="23" max="23" width="10.7109375" style="94" bestFit="1" customWidth="1"/>
    <col min="24" max="24" width="10.42578125" style="94" bestFit="1" customWidth="1"/>
    <col min="25" max="25" width="11.5703125" style="94" bestFit="1" customWidth="1"/>
    <col min="26" max="27" width="12.85546875" style="94" bestFit="1" customWidth="1"/>
    <col min="28" max="16384" width="9.140625" style="94"/>
  </cols>
  <sheetData>
    <row r="1" spans="1:27" ht="17.25" thickBot="1">
      <c r="A1" s="416" t="s">
        <v>366</v>
      </c>
    </row>
    <row r="2" spans="1:27" s="421" customFormat="1" ht="75" customHeight="1" thickBot="1">
      <c r="A2" s="1268" t="s">
        <v>0</v>
      </c>
      <c r="B2" s="600" t="s">
        <v>164</v>
      </c>
      <c r="C2" s="470" t="s">
        <v>165</v>
      </c>
      <c r="D2" s="470" t="s">
        <v>166</v>
      </c>
      <c r="E2" s="470" t="s">
        <v>167</v>
      </c>
      <c r="F2" s="470" t="s">
        <v>168</v>
      </c>
      <c r="G2" s="470" t="s">
        <v>169</v>
      </c>
      <c r="H2" s="1168" t="s">
        <v>371</v>
      </c>
      <c r="I2" s="470" t="s">
        <v>171</v>
      </c>
      <c r="J2" s="470" t="s">
        <v>172</v>
      </c>
      <c r="K2" s="470" t="s">
        <v>173</v>
      </c>
      <c r="L2" s="470" t="s">
        <v>174</v>
      </c>
      <c r="M2" s="470" t="s">
        <v>175</v>
      </c>
      <c r="N2" s="470" t="s">
        <v>176</v>
      </c>
      <c r="O2" s="470" t="s">
        <v>177</v>
      </c>
      <c r="P2" s="470" t="s">
        <v>178</v>
      </c>
      <c r="Q2" s="470" t="s">
        <v>179</v>
      </c>
      <c r="R2" s="470" t="s">
        <v>180</v>
      </c>
      <c r="S2" s="470" t="s">
        <v>181</v>
      </c>
      <c r="T2" s="470" t="s">
        <v>182</v>
      </c>
      <c r="U2" s="470" t="s">
        <v>183</v>
      </c>
      <c r="V2" s="470" t="s">
        <v>184</v>
      </c>
      <c r="W2" s="470" t="s">
        <v>185</v>
      </c>
      <c r="X2" s="470" t="s">
        <v>186</v>
      </c>
      <c r="Y2" s="591" t="s">
        <v>1</v>
      </c>
      <c r="Z2" s="469" t="s">
        <v>187</v>
      </c>
      <c r="AA2" s="591" t="s">
        <v>2</v>
      </c>
    </row>
    <row r="3" spans="1:27" s="538" customFormat="1" ht="30.75" customHeight="1" thickBot="1">
      <c r="A3" s="1269"/>
      <c r="B3" s="589" t="s">
        <v>365</v>
      </c>
      <c r="C3" s="589" t="s">
        <v>365</v>
      </c>
      <c r="D3" s="589" t="s">
        <v>365</v>
      </c>
      <c r="E3" s="589" t="s">
        <v>365</v>
      </c>
      <c r="F3" s="589" t="s">
        <v>365</v>
      </c>
      <c r="G3" s="589" t="s">
        <v>365</v>
      </c>
      <c r="H3" s="589" t="s">
        <v>365</v>
      </c>
      <c r="I3" s="589" t="s">
        <v>365</v>
      </c>
      <c r="J3" s="589" t="s">
        <v>365</v>
      </c>
      <c r="K3" s="589" t="s">
        <v>365</v>
      </c>
      <c r="L3" s="589" t="s">
        <v>365</v>
      </c>
      <c r="M3" s="589" t="s">
        <v>365</v>
      </c>
      <c r="N3" s="589" t="s">
        <v>365</v>
      </c>
      <c r="O3" s="589" t="s">
        <v>365</v>
      </c>
      <c r="P3" s="589" t="s">
        <v>365</v>
      </c>
      <c r="Q3" s="589" t="s">
        <v>365</v>
      </c>
      <c r="R3" s="589" t="s">
        <v>365</v>
      </c>
      <c r="S3" s="589" t="s">
        <v>365</v>
      </c>
      <c r="T3" s="589" t="s">
        <v>365</v>
      </c>
      <c r="U3" s="589" t="s">
        <v>365</v>
      </c>
      <c r="V3" s="589" t="s">
        <v>365</v>
      </c>
      <c r="W3" s="589" t="s">
        <v>365</v>
      </c>
      <c r="X3" s="589" t="s">
        <v>365</v>
      </c>
      <c r="Y3" s="589" t="s">
        <v>365</v>
      </c>
      <c r="Z3" s="589" t="s">
        <v>365</v>
      </c>
      <c r="AA3" s="589" t="s">
        <v>365</v>
      </c>
    </row>
    <row r="4" spans="1:27">
      <c r="A4" s="550" t="s">
        <v>244</v>
      </c>
      <c r="B4" s="601"/>
      <c r="C4" s="602"/>
      <c r="D4" s="602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2"/>
      <c r="T4" s="602"/>
      <c r="U4" s="602"/>
      <c r="V4" s="602"/>
      <c r="W4" s="602"/>
      <c r="X4" s="602"/>
      <c r="Y4" s="601"/>
      <c r="Z4" s="603"/>
      <c r="AA4" s="604"/>
    </row>
    <row r="5" spans="1:27">
      <c r="A5" s="548" t="s">
        <v>245</v>
      </c>
      <c r="B5" s="424">
        <v>2347285</v>
      </c>
      <c r="C5" s="418">
        <v>85832</v>
      </c>
      <c r="D5" s="418">
        <v>275323</v>
      </c>
      <c r="E5" s="418">
        <v>1823199</v>
      </c>
      <c r="F5" s="418">
        <v>96520</v>
      </c>
      <c r="G5" s="418">
        <v>919441</v>
      </c>
      <c r="H5" s="418">
        <v>34348</v>
      </c>
      <c r="I5" s="418">
        <v>88728</v>
      </c>
      <c r="J5" s="418">
        <v>168259</v>
      </c>
      <c r="K5" s="418">
        <v>63740</v>
      </c>
      <c r="L5" s="418">
        <v>5440936</v>
      </c>
      <c r="M5" s="418">
        <v>9906359</v>
      </c>
      <c r="N5" s="418">
        <v>271823</v>
      </c>
      <c r="O5" s="418">
        <v>424184</v>
      </c>
      <c r="P5" s="418">
        <v>1429131</v>
      </c>
      <c r="Q5" s="418">
        <v>1945343</v>
      </c>
      <c r="R5" s="418">
        <v>553422</v>
      </c>
      <c r="S5" s="418">
        <v>458201</v>
      </c>
      <c r="T5" s="418"/>
      <c r="U5" s="418">
        <v>7689188</v>
      </c>
      <c r="V5" s="418">
        <v>47865</v>
      </c>
      <c r="W5" s="418">
        <v>212957</v>
      </c>
      <c r="X5" s="418">
        <v>1037873</v>
      </c>
      <c r="Y5" s="424">
        <f>SUM(B5:X5)</f>
        <v>35319957</v>
      </c>
      <c r="Z5" s="423">
        <v>4156286</v>
      </c>
      <c r="AA5" s="424">
        <f>Y5+Z5</f>
        <v>39476243</v>
      </c>
    </row>
    <row r="6" spans="1:27">
      <c r="A6" s="548" t="s">
        <v>246</v>
      </c>
      <c r="B6" s="424"/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18"/>
      <c r="X6" s="418"/>
      <c r="Y6" s="424">
        <f t="shared" ref="Y6:Y22" si="0">SUM(B6:X6)</f>
        <v>0</v>
      </c>
      <c r="Z6" s="423"/>
      <c r="AA6" s="424">
        <f t="shared" ref="AA6:AA22" si="1">Y6+Z6</f>
        <v>0</v>
      </c>
    </row>
    <row r="7" spans="1:27">
      <c r="A7" s="548" t="s">
        <v>247</v>
      </c>
      <c r="B7" s="424">
        <v>174769</v>
      </c>
      <c r="C7" s="418">
        <v>2967</v>
      </c>
      <c r="D7" s="418">
        <v>31451</v>
      </c>
      <c r="E7" s="418">
        <v>414391</v>
      </c>
      <c r="F7" s="418">
        <v>7495</v>
      </c>
      <c r="G7" s="418">
        <v>9636</v>
      </c>
      <c r="H7" s="418">
        <v>737</v>
      </c>
      <c r="I7" s="418">
        <v>3143</v>
      </c>
      <c r="J7" s="418">
        <v>11905</v>
      </c>
      <c r="K7" s="418">
        <v>1105</v>
      </c>
      <c r="L7" s="418">
        <v>750953</v>
      </c>
      <c r="M7" s="418">
        <v>1101389</v>
      </c>
      <c r="N7" s="418">
        <v>4690</v>
      </c>
      <c r="O7" s="418">
        <v>18806</v>
      </c>
      <c r="P7" s="418">
        <v>68390</v>
      </c>
      <c r="Q7" s="418">
        <v>192918</v>
      </c>
      <c r="R7" s="418">
        <v>22317</v>
      </c>
      <c r="S7" s="418">
        <v>30388</v>
      </c>
      <c r="T7" s="418"/>
      <c r="U7" s="418">
        <v>1204299</v>
      </c>
      <c r="V7" s="418">
        <v>900</v>
      </c>
      <c r="W7" s="418">
        <v>7351</v>
      </c>
      <c r="X7" s="418">
        <v>75292</v>
      </c>
      <c r="Y7" s="424">
        <f t="shared" si="0"/>
        <v>4135292</v>
      </c>
      <c r="Z7" s="423">
        <v>1661741</v>
      </c>
      <c r="AA7" s="424">
        <f t="shared" si="1"/>
        <v>5797033</v>
      </c>
    </row>
    <row r="8" spans="1:27">
      <c r="A8" s="548" t="s">
        <v>248</v>
      </c>
      <c r="B8" s="424">
        <v>7195</v>
      </c>
      <c r="C8" s="420"/>
      <c r="D8" s="418"/>
      <c r="E8" s="418"/>
      <c r="F8" s="418"/>
      <c r="G8" s="418"/>
      <c r="H8" s="418"/>
      <c r="I8" s="418"/>
      <c r="J8" s="418">
        <v>7049</v>
      </c>
      <c r="K8" s="418"/>
      <c r="L8" s="418"/>
      <c r="M8" s="418">
        <v>88291</v>
      </c>
      <c r="N8" s="418"/>
      <c r="O8" s="418">
        <v>2483</v>
      </c>
      <c r="P8" s="418"/>
      <c r="Q8" s="418"/>
      <c r="R8" s="418"/>
      <c r="S8" s="418">
        <v>1504</v>
      </c>
      <c r="T8" s="418"/>
      <c r="U8" s="418"/>
      <c r="V8" s="418"/>
      <c r="W8" s="418"/>
      <c r="X8" s="418">
        <v>4504</v>
      </c>
      <c r="Y8" s="424">
        <f t="shared" si="0"/>
        <v>111026</v>
      </c>
      <c r="Z8" s="423">
        <v>164964</v>
      </c>
      <c r="AA8" s="424">
        <f t="shared" si="1"/>
        <v>275990</v>
      </c>
    </row>
    <row r="9" spans="1:27">
      <c r="A9" s="548" t="s">
        <v>250</v>
      </c>
      <c r="B9" s="424"/>
      <c r="C9" s="420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24">
        <f t="shared" si="0"/>
        <v>0</v>
      </c>
      <c r="Z9" s="423"/>
      <c r="AA9" s="424">
        <f t="shared" si="1"/>
        <v>0</v>
      </c>
    </row>
    <row r="10" spans="1:27">
      <c r="A10" s="548" t="s">
        <v>251</v>
      </c>
      <c r="B10" s="424"/>
      <c r="C10" s="420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24">
        <f t="shared" si="0"/>
        <v>0</v>
      </c>
      <c r="Z10" s="423"/>
      <c r="AA10" s="424">
        <f t="shared" si="1"/>
        <v>0</v>
      </c>
    </row>
    <row r="11" spans="1:27">
      <c r="A11" s="551" t="s">
        <v>249</v>
      </c>
      <c r="B11" s="424"/>
      <c r="C11" s="418"/>
      <c r="D11" s="418"/>
      <c r="E11" s="418"/>
      <c r="F11" s="418">
        <v>608094</v>
      </c>
      <c r="G11" s="418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24">
        <f t="shared" si="0"/>
        <v>608094</v>
      </c>
      <c r="Z11" s="423"/>
      <c r="AA11" s="424">
        <f t="shared" si="1"/>
        <v>608094</v>
      </c>
    </row>
    <row r="12" spans="1:27">
      <c r="A12" s="548" t="s">
        <v>245</v>
      </c>
      <c r="B12" s="424">
        <v>1127473</v>
      </c>
      <c r="C12" s="418">
        <v>154915</v>
      </c>
      <c r="D12" s="418">
        <v>559930</v>
      </c>
      <c r="E12" s="418">
        <v>1896741</v>
      </c>
      <c r="F12" s="418"/>
      <c r="G12" s="418">
        <v>523456</v>
      </c>
      <c r="H12" s="418">
        <v>392898</v>
      </c>
      <c r="I12" s="418">
        <v>192896</v>
      </c>
      <c r="J12" s="418">
        <v>1111504</v>
      </c>
      <c r="K12" s="418">
        <v>318099</v>
      </c>
      <c r="L12" s="418">
        <v>4913941</v>
      </c>
      <c r="M12" s="418">
        <v>4231776</v>
      </c>
      <c r="N12" s="418">
        <v>662228</v>
      </c>
      <c r="O12" s="418">
        <v>372568</v>
      </c>
      <c r="P12" s="418">
        <v>1693505</v>
      </c>
      <c r="Q12" s="418">
        <v>4697687</v>
      </c>
      <c r="R12" s="418">
        <v>1579124</v>
      </c>
      <c r="S12" s="418">
        <v>1494888</v>
      </c>
      <c r="T12" s="418"/>
      <c r="U12" s="418">
        <v>6627729</v>
      </c>
      <c r="V12" s="418">
        <v>421440</v>
      </c>
      <c r="W12" s="418">
        <v>590072</v>
      </c>
      <c r="X12" s="418">
        <v>1957903</v>
      </c>
      <c r="Y12" s="424">
        <f t="shared" si="0"/>
        <v>35520773</v>
      </c>
      <c r="Z12" s="423">
        <v>251372936</v>
      </c>
      <c r="AA12" s="424">
        <f t="shared" si="1"/>
        <v>286893709</v>
      </c>
    </row>
    <row r="13" spans="1:27">
      <c r="A13" s="548" t="s">
        <v>246</v>
      </c>
      <c r="B13" s="424">
        <v>22698</v>
      </c>
      <c r="C13" s="418">
        <v>30</v>
      </c>
      <c r="D13" s="418">
        <v>4922</v>
      </c>
      <c r="E13" s="418">
        <v>19386</v>
      </c>
      <c r="F13" s="418"/>
      <c r="G13" s="418">
        <v>34165</v>
      </c>
      <c r="H13" s="418"/>
      <c r="I13" s="418">
        <v>3810</v>
      </c>
      <c r="J13" s="418">
        <v>14926</v>
      </c>
      <c r="K13" s="418">
        <v>1059</v>
      </c>
      <c r="L13" s="418">
        <v>845374</v>
      </c>
      <c r="M13" s="418">
        <v>483535</v>
      </c>
      <c r="N13" s="418">
        <v>1726</v>
      </c>
      <c r="O13" s="418">
        <v>391</v>
      </c>
      <c r="P13" s="418">
        <v>49857</v>
      </c>
      <c r="Q13" s="418">
        <v>38116</v>
      </c>
      <c r="R13" s="418">
        <v>5379</v>
      </c>
      <c r="S13" s="418">
        <v>8778</v>
      </c>
      <c r="T13" s="418"/>
      <c r="U13" s="418">
        <v>464104</v>
      </c>
      <c r="V13" s="418">
        <v>980</v>
      </c>
      <c r="W13" s="418">
        <v>23796</v>
      </c>
      <c r="X13" s="418">
        <v>50819</v>
      </c>
      <c r="Y13" s="424">
        <f t="shared" si="0"/>
        <v>2073851</v>
      </c>
      <c r="Z13" s="423">
        <v>8980208</v>
      </c>
      <c r="AA13" s="424">
        <f t="shared" si="1"/>
        <v>11054059</v>
      </c>
    </row>
    <row r="14" spans="1:27">
      <c r="A14" s="548" t="s">
        <v>247</v>
      </c>
      <c r="B14" s="424">
        <v>254684</v>
      </c>
      <c r="C14" s="418">
        <v>319</v>
      </c>
      <c r="D14" s="418">
        <v>25871</v>
      </c>
      <c r="E14" s="418">
        <v>819453</v>
      </c>
      <c r="F14" s="418">
        <v>603</v>
      </c>
      <c r="G14" s="418">
        <v>71558</v>
      </c>
      <c r="H14" s="418"/>
      <c r="I14" s="418">
        <v>7811</v>
      </c>
      <c r="J14" s="418">
        <v>184644</v>
      </c>
      <c r="K14" s="418">
        <v>35332</v>
      </c>
      <c r="L14" s="418">
        <v>1037702</v>
      </c>
      <c r="M14" s="418">
        <v>85887</v>
      </c>
      <c r="N14" s="418">
        <v>5653</v>
      </c>
      <c r="O14" s="418">
        <v>647332</v>
      </c>
      <c r="P14" s="418">
        <v>61591</v>
      </c>
      <c r="Q14" s="418">
        <v>6795</v>
      </c>
      <c r="R14" s="418">
        <v>19362</v>
      </c>
      <c r="S14" s="418">
        <v>11751</v>
      </c>
      <c r="T14" s="418"/>
      <c r="U14" s="418">
        <v>652518</v>
      </c>
      <c r="V14" s="418"/>
      <c r="W14" s="418">
        <v>72405</v>
      </c>
      <c r="X14" s="418">
        <v>65091</v>
      </c>
      <c r="Y14" s="424">
        <f t="shared" si="0"/>
        <v>4066362</v>
      </c>
      <c r="Z14" s="423">
        <v>52100958</v>
      </c>
      <c r="AA14" s="424">
        <f t="shared" si="1"/>
        <v>56167320</v>
      </c>
    </row>
    <row r="15" spans="1:27">
      <c r="A15" s="548" t="s">
        <v>248</v>
      </c>
      <c r="B15" s="424">
        <v>99</v>
      </c>
      <c r="C15" s="418">
        <v>191</v>
      </c>
      <c r="D15" s="418">
        <v>1167</v>
      </c>
      <c r="E15" s="418">
        <v>1122</v>
      </c>
      <c r="F15" s="418">
        <v>1674</v>
      </c>
      <c r="G15" s="418">
        <v>413</v>
      </c>
      <c r="H15" s="418">
        <v>244</v>
      </c>
      <c r="I15" s="418">
        <v>492</v>
      </c>
      <c r="J15" s="418">
        <v>85</v>
      </c>
      <c r="K15" s="418">
        <v>684</v>
      </c>
      <c r="L15" s="418">
        <v>5811</v>
      </c>
      <c r="M15" s="418">
        <v>5569</v>
      </c>
      <c r="N15" s="418"/>
      <c r="O15" s="418">
        <v>269</v>
      </c>
      <c r="P15" s="418"/>
      <c r="Q15" s="418">
        <v>1863</v>
      </c>
      <c r="R15" s="418">
        <v>17309</v>
      </c>
      <c r="S15" s="418">
        <v>1127</v>
      </c>
      <c r="T15" s="418"/>
      <c r="U15" s="418">
        <v>200</v>
      </c>
      <c r="V15" s="418">
        <v>33</v>
      </c>
      <c r="W15" s="418">
        <v>8428</v>
      </c>
      <c r="X15" s="418">
        <v>2445</v>
      </c>
      <c r="Y15" s="424">
        <f t="shared" si="0"/>
        <v>49225</v>
      </c>
      <c r="Z15" s="423">
        <v>105444</v>
      </c>
      <c r="AA15" s="424">
        <f t="shared" si="1"/>
        <v>154669</v>
      </c>
    </row>
    <row r="16" spans="1:27" ht="17.25" thickBot="1">
      <c r="A16" s="552" t="s">
        <v>250</v>
      </c>
      <c r="B16" s="553"/>
      <c r="C16" s="549"/>
      <c r="D16" s="549"/>
      <c r="E16" s="549"/>
      <c r="F16" s="549"/>
      <c r="G16" s="549"/>
      <c r="H16" s="549"/>
      <c r="I16" s="549"/>
      <c r="J16" s="549">
        <v>1216</v>
      </c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49"/>
      <c r="V16" s="549"/>
      <c r="W16" s="549"/>
      <c r="X16" s="549"/>
      <c r="Y16" s="424">
        <f t="shared" si="0"/>
        <v>1216</v>
      </c>
      <c r="Z16" s="598"/>
      <c r="AA16" s="424">
        <f t="shared" si="1"/>
        <v>1216</v>
      </c>
    </row>
    <row r="17" spans="1:27">
      <c r="A17" s="548" t="s">
        <v>251</v>
      </c>
      <c r="B17" s="424"/>
      <c r="C17" s="418"/>
      <c r="D17" s="418"/>
      <c r="E17" s="418"/>
      <c r="F17" s="418"/>
      <c r="G17" s="418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24">
        <f t="shared" si="0"/>
        <v>0</v>
      </c>
      <c r="Z17" s="423"/>
      <c r="AA17" s="424">
        <f t="shared" si="1"/>
        <v>0</v>
      </c>
    </row>
    <row r="18" spans="1:27">
      <c r="A18" s="94" t="s">
        <v>252</v>
      </c>
      <c r="B18" s="424"/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8"/>
      <c r="W18" s="418"/>
      <c r="X18" s="418"/>
      <c r="Y18" s="424">
        <f t="shared" si="0"/>
        <v>0</v>
      </c>
      <c r="Z18" s="423"/>
      <c r="AA18" s="424">
        <f t="shared" si="1"/>
        <v>0</v>
      </c>
    </row>
    <row r="19" spans="1:27">
      <c r="A19" s="548" t="s">
        <v>245</v>
      </c>
      <c r="B19" s="424"/>
      <c r="C19" s="418"/>
      <c r="D19" s="418"/>
      <c r="E19" s="418"/>
      <c r="F19" s="418"/>
      <c r="G19" s="418"/>
      <c r="H19" s="418"/>
      <c r="I19" s="418"/>
      <c r="J19" s="418"/>
      <c r="K19" s="418"/>
      <c r="L19" s="418"/>
      <c r="M19" s="418">
        <v>20563</v>
      </c>
      <c r="N19" s="418"/>
      <c r="O19" s="418"/>
      <c r="P19" s="418"/>
      <c r="Q19" s="418"/>
      <c r="R19" s="418"/>
      <c r="S19" s="418"/>
      <c r="T19" s="418"/>
      <c r="U19" s="418"/>
      <c r="V19" s="418"/>
      <c r="W19" s="418"/>
      <c r="X19" s="418"/>
      <c r="Y19" s="424">
        <f t="shared" si="0"/>
        <v>20563</v>
      </c>
      <c r="Z19" s="423"/>
      <c r="AA19" s="424">
        <f t="shared" si="1"/>
        <v>20563</v>
      </c>
    </row>
    <row r="20" spans="1:27">
      <c r="A20" s="548" t="s">
        <v>246</v>
      </c>
      <c r="B20" s="424"/>
      <c r="C20" s="418"/>
      <c r="D20" s="418"/>
      <c r="E20" s="418"/>
      <c r="F20" s="418"/>
      <c r="G20" s="418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  <c r="T20" s="418"/>
      <c r="U20" s="418"/>
      <c r="V20" s="418"/>
      <c r="W20" s="418"/>
      <c r="X20" s="418"/>
      <c r="Y20" s="424">
        <f t="shared" si="0"/>
        <v>0</v>
      </c>
      <c r="Z20" s="423"/>
      <c r="AA20" s="424">
        <f t="shared" si="1"/>
        <v>0</v>
      </c>
    </row>
    <row r="21" spans="1:27">
      <c r="A21" s="548" t="s">
        <v>247</v>
      </c>
      <c r="B21" s="424"/>
      <c r="C21" s="418"/>
      <c r="D21" s="418"/>
      <c r="E21" s="418"/>
      <c r="F21" s="418"/>
      <c r="G21" s="418"/>
      <c r="H21" s="418"/>
      <c r="I21" s="418"/>
      <c r="J21" s="418"/>
      <c r="K21" s="418"/>
      <c r="L21" s="418"/>
      <c r="M21" s="418">
        <v>14967</v>
      </c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24">
        <f t="shared" si="0"/>
        <v>14967</v>
      </c>
      <c r="Z21" s="423"/>
      <c r="AA21" s="424">
        <f t="shared" si="1"/>
        <v>14967</v>
      </c>
    </row>
    <row r="22" spans="1:27" ht="17.25" thickBot="1">
      <c r="A22" s="548" t="s">
        <v>248</v>
      </c>
      <c r="B22" s="426"/>
      <c r="C22" s="419"/>
      <c r="D22" s="419"/>
      <c r="E22" s="419"/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  <c r="W22" s="419"/>
      <c r="X22" s="419"/>
      <c r="Y22" s="426">
        <f t="shared" si="0"/>
        <v>0</v>
      </c>
      <c r="Z22" s="599"/>
      <c r="AA22" s="426">
        <f t="shared" si="1"/>
        <v>0</v>
      </c>
    </row>
  </sheetData>
  <mergeCells count="1">
    <mergeCell ref="A2:A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X7"/>
  <sheetViews>
    <sheetView workbookViewId="0">
      <pane xSplit="1" topLeftCell="EJ1" activePane="topRight" state="frozen"/>
      <selection pane="topRight" activeCell="EN11" sqref="EN11"/>
    </sheetView>
    <sheetView workbookViewId="1">
      <pane xSplit="1" topLeftCell="B1" activePane="topRight" state="frozen"/>
      <selection pane="topRight" activeCell="K10" sqref="K10"/>
    </sheetView>
  </sheetViews>
  <sheetFormatPr defaultRowHeight="14.25"/>
  <cols>
    <col min="1" max="1" width="51.5703125" style="13" customWidth="1"/>
    <col min="2" max="2" width="6.42578125" style="13" bestFit="1" customWidth="1"/>
    <col min="3" max="3" width="6" style="13" bestFit="1" customWidth="1"/>
    <col min="4" max="5" width="6.42578125" style="13" bestFit="1" customWidth="1"/>
    <col min="6" max="6" width="7" style="13" bestFit="1" customWidth="1"/>
    <col min="7" max="7" width="7.28515625" style="13" bestFit="1" customWidth="1"/>
    <col min="8" max="8" width="6.42578125" style="13" bestFit="1" customWidth="1"/>
    <col min="9" max="9" width="4.7109375" style="13" bestFit="1" customWidth="1"/>
    <col min="10" max="10" width="6" style="13" bestFit="1" customWidth="1"/>
    <col min="11" max="11" width="5.7109375" style="13" customWidth="1"/>
    <col min="12" max="12" width="6" style="13" bestFit="1" customWidth="1"/>
    <col min="13" max="13" width="6.42578125" style="13" bestFit="1" customWidth="1"/>
    <col min="14" max="15" width="4" style="13" bestFit="1" customWidth="1"/>
    <col min="16" max="16" width="5.140625" style="13" bestFit="1" customWidth="1"/>
    <col min="17" max="17" width="5" style="13" bestFit="1" customWidth="1"/>
    <col min="18" max="18" width="7" style="13" bestFit="1" customWidth="1"/>
    <col min="19" max="20" width="6.42578125" style="13" bestFit="1" customWidth="1"/>
    <col min="21" max="21" width="6.28515625" style="13" bestFit="1" customWidth="1"/>
    <col min="22" max="22" width="7.140625" style="13" customWidth="1"/>
    <col min="23" max="23" width="6.42578125" style="13" bestFit="1" customWidth="1"/>
    <col min="24" max="24" width="8" style="13" bestFit="1" customWidth="1"/>
    <col min="25" max="25" width="7.28515625" style="13" bestFit="1" customWidth="1"/>
    <col min="26" max="26" width="5.7109375" style="13" bestFit="1" customWidth="1"/>
    <col min="27" max="27" width="5" style="13" bestFit="1" customWidth="1"/>
    <col min="28" max="29" width="6" style="13" bestFit="1" customWidth="1"/>
    <col min="30" max="30" width="7" style="13" bestFit="1" customWidth="1"/>
    <col min="31" max="31" width="6.42578125" style="13" bestFit="1" customWidth="1"/>
    <col min="32" max="33" width="5" style="13" bestFit="1" customWidth="1"/>
    <col min="34" max="34" width="5.7109375" style="13" bestFit="1" customWidth="1"/>
    <col min="35" max="35" width="6" style="13" bestFit="1" customWidth="1"/>
    <col min="36" max="36" width="8" style="13" bestFit="1" customWidth="1"/>
    <col min="37" max="37" width="7" style="13" bestFit="1" customWidth="1"/>
    <col min="38" max="38" width="5" style="13" customWidth="1"/>
    <col min="39" max="39" width="8" style="13" bestFit="1" customWidth="1"/>
    <col min="40" max="40" width="5.85546875" style="13" customWidth="1"/>
    <col min="41" max="41" width="5" style="13" bestFit="1" customWidth="1"/>
    <col min="42" max="42" width="6" style="13" bestFit="1" customWidth="1"/>
    <col min="43" max="43" width="6" style="13" customWidth="1"/>
    <col min="44" max="44" width="5" style="13" bestFit="1" customWidth="1"/>
    <col min="45" max="45" width="5" style="13" customWidth="1"/>
    <col min="46" max="46" width="10" style="13" bestFit="1" customWidth="1"/>
    <col min="47" max="49" width="6" style="13" bestFit="1" customWidth="1"/>
    <col min="50" max="50" width="5" style="13" customWidth="1"/>
    <col min="51" max="51" width="5" style="13" bestFit="1" customWidth="1"/>
    <col min="52" max="55" width="6" style="13" bestFit="1" customWidth="1"/>
    <col min="56" max="59" width="5" style="13" bestFit="1" customWidth="1"/>
    <col min="60" max="60" width="6" style="13" bestFit="1" customWidth="1"/>
    <col min="61" max="61" width="6.42578125" style="13" customWidth="1"/>
    <col min="62" max="63" width="6" style="13" bestFit="1" customWidth="1"/>
    <col min="64" max="65" width="7" style="13" bestFit="1" customWidth="1"/>
    <col min="66" max="67" width="8" style="13" bestFit="1" customWidth="1"/>
    <col min="68" max="69" width="6" style="13" bestFit="1" customWidth="1"/>
    <col min="70" max="70" width="6.7109375" style="13" bestFit="1" customWidth="1"/>
    <col min="71" max="71" width="6" style="13" bestFit="1" customWidth="1"/>
    <col min="72" max="72" width="8" style="13" bestFit="1" customWidth="1"/>
    <col min="73" max="73" width="7.7109375" style="13" bestFit="1" customWidth="1"/>
    <col min="74" max="74" width="5" style="13" bestFit="1" customWidth="1"/>
    <col min="75" max="75" width="5" style="13" customWidth="1"/>
    <col min="76" max="76" width="6" style="13" bestFit="1" customWidth="1"/>
    <col min="77" max="78" width="5" style="13" bestFit="1" customWidth="1"/>
    <col min="79" max="79" width="5.7109375" style="13" bestFit="1" customWidth="1"/>
    <col min="80" max="80" width="4.85546875" style="13" bestFit="1" customWidth="1"/>
    <col min="81" max="81" width="4.5703125" style="13" bestFit="1" customWidth="1"/>
    <col min="82" max="82" width="5.85546875" style="13" customWidth="1"/>
    <col min="83" max="83" width="4.85546875" style="13" customWidth="1"/>
    <col min="84" max="84" width="4.5703125" style="13" bestFit="1" customWidth="1"/>
    <col min="85" max="85" width="9.85546875" style="13" bestFit="1" customWidth="1"/>
    <col min="86" max="87" width="5" style="13" bestFit="1" customWidth="1"/>
    <col min="88" max="88" width="5.7109375" style="13" bestFit="1" customWidth="1"/>
    <col min="89" max="89" width="6" style="13" bestFit="1" customWidth="1"/>
    <col min="90" max="90" width="8" style="13" bestFit="1" customWidth="1"/>
    <col min="91" max="91" width="7" style="13" bestFit="1" customWidth="1"/>
    <col min="92" max="93" width="6" style="13" bestFit="1" customWidth="1"/>
    <col min="94" max="94" width="7" style="13" bestFit="1" customWidth="1"/>
    <col min="95" max="95" width="6" style="13" bestFit="1" customWidth="1"/>
    <col min="96" max="96" width="8" style="13" bestFit="1" customWidth="1"/>
    <col min="97" max="97" width="7" style="13" bestFit="1" customWidth="1"/>
    <col min="98" max="101" width="6" style="13" bestFit="1" customWidth="1"/>
    <col min="102" max="103" width="7" style="13" bestFit="1" customWidth="1"/>
    <col min="104" max="104" width="4.85546875" style="13" customWidth="1"/>
    <col min="105" max="105" width="4.5703125" style="13" customWidth="1"/>
    <col min="106" max="106" width="4.7109375" style="13" bestFit="1" customWidth="1"/>
    <col min="107" max="107" width="3.85546875" style="13" bestFit="1" customWidth="1"/>
    <col min="108" max="108" width="6" style="13" bestFit="1" customWidth="1"/>
    <col min="109" max="109" width="4.7109375" style="13" bestFit="1" customWidth="1"/>
    <col min="110" max="110" width="6.42578125" style="13" bestFit="1" customWidth="1"/>
    <col min="111" max="111" width="4.7109375" style="13" bestFit="1" customWidth="1"/>
    <col min="112" max="112" width="5.140625" style="13" customWidth="1"/>
    <col min="113" max="114" width="6.85546875" style="13" customWidth="1"/>
    <col min="115" max="115" width="6" style="13" customWidth="1"/>
    <col min="116" max="116" width="6" style="13" bestFit="1" customWidth="1"/>
    <col min="117" max="117" width="6" style="13" customWidth="1"/>
    <col min="118" max="118" width="6.7109375" style="13" bestFit="1" customWidth="1"/>
    <col min="119" max="119" width="7" style="13" bestFit="1" customWidth="1"/>
    <col min="120" max="120" width="8" style="13" bestFit="1" customWidth="1"/>
    <col min="121" max="121" width="7.7109375" style="13" bestFit="1" customWidth="1"/>
    <col min="122" max="123" width="6" style="13" bestFit="1" customWidth="1"/>
    <col min="124" max="124" width="5.7109375" style="13" bestFit="1" customWidth="1"/>
    <col min="125" max="125" width="6" style="13" bestFit="1" customWidth="1"/>
    <col min="126" max="126" width="7" style="13" bestFit="1" customWidth="1"/>
    <col min="127" max="127" width="5.7109375" style="13" bestFit="1" customWidth="1"/>
    <col min="128" max="129" width="5" style="13" bestFit="1" customWidth="1"/>
    <col min="130" max="130" width="5.7109375" style="13" bestFit="1" customWidth="1"/>
    <col min="131" max="131" width="5" style="13" bestFit="1" customWidth="1"/>
    <col min="132" max="132" width="7" style="13" bestFit="1" customWidth="1"/>
    <col min="133" max="133" width="5.7109375" style="13" bestFit="1" customWidth="1"/>
    <col min="134" max="135" width="6" style="13" bestFit="1" customWidth="1"/>
    <col min="136" max="136" width="5.7109375" style="13" bestFit="1" customWidth="1"/>
    <col min="137" max="137" width="6" style="13" bestFit="1" customWidth="1"/>
    <col min="138" max="138" width="7" style="13" bestFit="1" customWidth="1"/>
    <col min="139" max="139" width="6.7109375" style="13" bestFit="1" customWidth="1"/>
    <col min="140" max="140" width="7" style="13" bestFit="1" customWidth="1"/>
    <col min="141" max="141" width="7" style="13" customWidth="1"/>
    <col min="142" max="142" width="7.7109375" style="13" customWidth="1"/>
    <col min="143" max="144" width="8" style="13" bestFit="1" customWidth="1"/>
    <col min="145" max="145" width="8.7109375" style="13" bestFit="1" customWidth="1"/>
    <col min="146" max="146" width="7" style="39" bestFit="1" customWidth="1"/>
    <col min="147" max="147" width="8" style="39" bestFit="1" customWidth="1"/>
    <col min="148" max="148" width="7.7109375" style="13" bestFit="1" customWidth="1"/>
    <col min="149" max="149" width="8" style="13" bestFit="1" customWidth="1"/>
    <col min="150" max="150" width="9" style="13" bestFit="1" customWidth="1"/>
    <col min="151" max="151" width="9.85546875" style="13" bestFit="1" customWidth="1"/>
    <col min="152" max="16384" width="9.140625" style="13"/>
  </cols>
  <sheetData>
    <row r="1" spans="1:154" s="85" customFormat="1" ht="27.75" thickBot="1">
      <c r="A1" s="1197" t="s">
        <v>389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6"/>
      <c r="BO1" s="286"/>
      <c r="BP1" s="286"/>
      <c r="BQ1" s="286"/>
      <c r="BR1" s="286"/>
      <c r="BS1" s="286"/>
      <c r="BT1" s="286"/>
      <c r="BU1" s="286"/>
      <c r="BV1" s="286"/>
      <c r="BW1" s="286"/>
      <c r="BX1" s="286"/>
      <c r="BY1" s="286"/>
      <c r="BZ1" s="286"/>
      <c r="CA1" s="286"/>
      <c r="CB1" s="286"/>
      <c r="CC1" s="286"/>
      <c r="CD1" s="286"/>
      <c r="CE1" s="286"/>
      <c r="CF1" s="286"/>
      <c r="CG1" s="286"/>
      <c r="CH1" s="286"/>
      <c r="CI1" s="286"/>
      <c r="CJ1" s="286"/>
      <c r="CK1" s="286"/>
      <c r="CL1" s="286"/>
      <c r="CM1" s="286"/>
      <c r="CN1" s="286"/>
      <c r="CO1" s="286"/>
      <c r="CP1" s="286"/>
      <c r="CQ1" s="286"/>
      <c r="CR1" s="286"/>
      <c r="CS1" s="286"/>
      <c r="CT1" s="286"/>
      <c r="CU1" s="286"/>
      <c r="CV1" s="286"/>
      <c r="CW1" s="286"/>
      <c r="CX1" s="286"/>
      <c r="CY1" s="286"/>
      <c r="CZ1" s="286"/>
      <c r="DA1" s="286"/>
      <c r="DB1" s="286"/>
      <c r="DC1" s="286"/>
      <c r="DD1" s="286"/>
      <c r="DE1" s="286"/>
      <c r="DF1" s="286"/>
      <c r="DG1" s="286"/>
      <c r="DH1" s="286"/>
      <c r="DI1" s="286"/>
      <c r="DJ1" s="286"/>
      <c r="DK1" s="286"/>
      <c r="DL1" s="286"/>
      <c r="DM1" s="286"/>
      <c r="DN1" s="286"/>
      <c r="DO1" s="286"/>
      <c r="DP1" s="286"/>
      <c r="DQ1" s="286"/>
      <c r="DR1" s="286"/>
      <c r="DS1" s="286"/>
      <c r="DT1" s="286"/>
      <c r="DU1" s="286"/>
      <c r="DV1" s="286"/>
      <c r="DW1" s="286"/>
      <c r="DX1" s="286"/>
      <c r="DY1" s="286"/>
      <c r="DZ1" s="286"/>
      <c r="EA1" s="286"/>
      <c r="EB1" s="286"/>
      <c r="EC1" s="286"/>
      <c r="ED1" s="286"/>
      <c r="EE1" s="286"/>
      <c r="EF1" s="286"/>
      <c r="EG1" s="286"/>
      <c r="EH1" s="286"/>
      <c r="EI1" s="286"/>
      <c r="EJ1" s="286"/>
      <c r="EK1" s="286"/>
      <c r="EL1" s="286"/>
      <c r="EM1" s="286"/>
      <c r="EN1" s="286"/>
      <c r="EO1" s="286"/>
      <c r="EP1" s="678"/>
      <c r="EQ1" s="678"/>
    </row>
    <row r="2" spans="1:154" s="1190" customFormat="1" ht="27.75" customHeight="1" thickBot="1">
      <c r="A2" s="1189" t="s">
        <v>361</v>
      </c>
      <c r="B2" s="1271" t="s">
        <v>284</v>
      </c>
      <c r="C2" s="1271"/>
      <c r="D2" s="1271"/>
      <c r="E2" s="1271"/>
      <c r="F2" s="1271"/>
      <c r="G2" s="1272"/>
      <c r="H2" s="1270" t="s">
        <v>165</v>
      </c>
      <c r="I2" s="1271"/>
      <c r="J2" s="1271"/>
      <c r="K2" s="1271"/>
      <c r="L2" s="1271"/>
      <c r="M2" s="1272"/>
      <c r="N2" s="1276" t="s">
        <v>166</v>
      </c>
      <c r="O2" s="1276"/>
      <c r="P2" s="1276"/>
      <c r="Q2" s="1276"/>
      <c r="R2" s="1276"/>
      <c r="S2" s="1277"/>
      <c r="T2" s="1278" t="s">
        <v>286</v>
      </c>
      <c r="U2" s="1279"/>
      <c r="V2" s="1279"/>
      <c r="W2" s="1279"/>
      <c r="X2" s="1279"/>
      <c r="Y2" s="1280"/>
      <c r="Z2" s="1278" t="s">
        <v>287</v>
      </c>
      <c r="AA2" s="1279"/>
      <c r="AB2" s="1279"/>
      <c r="AC2" s="1279"/>
      <c r="AD2" s="1279"/>
      <c r="AE2" s="1280"/>
      <c r="AF2" s="1270" t="s">
        <v>291</v>
      </c>
      <c r="AG2" s="1271"/>
      <c r="AH2" s="1271"/>
      <c r="AI2" s="1271"/>
      <c r="AJ2" s="1271"/>
      <c r="AK2" s="1272"/>
      <c r="AL2" s="1270" t="s">
        <v>388</v>
      </c>
      <c r="AM2" s="1271"/>
      <c r="AN2" s="1271"/>
      <c r="AO2" s="1271"/>
      <c r="AP2" s="1271"/>
      <c r="AQ2" s="1272"/>
      <c r="AR2" s="1270" t="s">
        <v>192</v>
      </c>
      <c r="AS2" s="1271"/>
      <c r="AT2" s="1271"/>
      <c r="AU2" s="1271"/>
      <c r="AV2" s="1271"/>
      <c r="AW2" s="1272"/>
      <c r="AX2" s="1273" t="s">
        <v>288</v>
      </c>
      <c r="AY2" s="1274"/>
      <c r="AZ2" s="1274"/>
      <c r="BA2" s="1274"/>
      <c r="BB2" s="1274"/>
      <c r="BC2" s="1275"/>
      <c r="BD2" s="1281" t="s">
        <v>289</v>
      </c>
      <c r="BE2" s="1282"/>
      <c r="BF2" s="1282"/>
      <c r="BG2" s="1282"/>
      <c r="BH2" s="1282"/>
      <c r="BI2" s="1283"/>
      <c r="BJ2" s="1270" t="s">
        <v>290</v>
      </c>
      <c r="BK2" s="1271"/>
      <c r="BL2" s="1271"/>
      <c r="BM2" s="1271"/>
      <c r="BN2" s="1271"/>
      <c r="BO2" s="1272"/>
      <c r="BP2" s="1270" t="s">
        <v>191</v>
      </c>
      <c r="BQ2" s="1271"/>
      <c r="BR2" s="1271"/>
      <c r="BS2" s="1271"/>
      <c r="BT2" s="1271"/>
      <c r="BU2" s="1272"/>
      <c r="BV2" s="1284" t="s">
        <v>188</v>
      </c>
      <c r="BW2" s="1285"/>
      <c r="BX2" s="1285"/>
      <c r="BY2" s="1285"/>
      <c r="BZ2" s="1285"/>
      <c r="CA2" s="1286"/>
      <c r="CB2" s="1281" t="s">
        <v>177</v>
      </c>
      <c r="CC2" s="1282"/>
      <c r="CD2" s="1282"/>
      <c r="CE2" s="1282"/>
      <c r="CF2" s="1282"/>
      <c r="CG2" s="1283"/>
      <c r="CH2" s="1287" t="s">
        <v>178</v>
      </c>
      <c r="CI2" s="1288"/>
      <c r="CJ2" s="1288"/>
      <c r="CK2" s="1288"/>
      <c r="CL2" s="1288"/>
      <c r="CM2" s="1289"/>
      <c r="CN2" s="1270" t="s">
        <v>179</v>
      </c>
      <c r="CO2" s="1271"/>
      <c r="CP2" s="1271"/>
      <c r="CQ2" s="1271"/>
      <c r="CR2" s="1271"/>
      <c r="CS2" s="1272"/>
      <c r="CT2" s="1281" t="s">
        <v>294</v>
      </c>
      <c r="CU2" s="1282"/>
      <c r="CV2" s="1282"/>
      <c r="CW2" s="1282"/>
      <c r="CX2" s="1282"/>
      <c r="CY2" s="1283"/>
      <c r="CZ2" s="1281" t="s">
        <v>190</v>
      </c>
      <c r="DA2" s="1282"/>
      <c r="DB2" s="1282"/>
      <c r="DC2" s="1282"/>
      <c r="DD2" s="1282"/>
      <c r="DE2" s="1283"/>
      <c r="DF2" s="1287" t="s">
        <v>182</v>
      </c>
      <c r="DG2" s="1288"/>
      <c r="DH2" s="1288"/>
      <c r="DI2" s="1288"/>
      <c r="DJ2" s="1288"/>
      <c r="DK2" s="1289"/>
      <c r="DL2" s="1270" t="s">
        <v>189</v>
      </c>
      <c r="DM2" s="1271"/>
      <c r="DN2" s="1271"/>
      <c r="DO2" s="1271"/>
      <c r="DP2" s="1271"/>
      <c r="DQ2" s="1272"/>
      <c r="DR2" s="1270" t="s">
        <v>292</v>
      </c>
      <c r="DS2" s="1271"/>
      <c r="DT2" s="1271"/>
      <c r="DU2" s="1271"/>
      <c r="DV2" s="1271"/>
      <c r="DW2" s="1272"/>
      <c r="DX2" s="1270" t="s">
        <v>185</v>
      </c>
      <c r="DY2" s="1271"/>
      <c r="DZ2" s="1271"/>
      <c r="EA2" s="1271"/>
      <c r="EB2" s="1271"/>
      <c r="EC2" s="1272"/>
      <c r="ED2" s="1273" t="s">
        <v>186</v>
      </c>
      <c r="EE2" s="1274"/>
      <c r="EF2" s="1274"/>
      <c r="EG2" s="1274"/>
      <c r="EH2" s="1274"/>
      <c r="EI2" s="1275"/>
      <c r="EJ2" s="1290" t="s">
        <v>187</v>
      </c>
      <c r="EK2" s="1291"/>
      <c r="EL2" s="1291"/>
      <c r="EM2" s="1291"/>
      <c r="EN2" s="1291"/>
      <c r="EO2" s="1292"/>
      <c r="EP2" s="1290" t="s">
        <v>293</v>
      </c>
      <c r="EQ2" s="1291"/>
      <c r="ER2" s="1291"/>
      <c r="ES2" s="1291"/>
      <c r="ET2" s="1291"/>
      <c r="EU2" s="1292"/>
    </row>
    <row r="3" spans="1:154" s="546" customFormat="1" ht="16.5" customHeight="1" thickBot="1">
      <c r="A3" s="908"/>
      <c r="B3" s="1293" t="s">
        <v>279</v>
      </c>
      <c r="C3" s="1293"/>
      <c r="D3" s="1294"/>
      <c r="E3" s="1293" t="s">
        <v>285</v>
      </c>
      <c r="F3" s="1293"/>
      <c r="G3" s="1294"/>
      <c r="H3" s="1295" t="s">
        <v>279</v>
      </c>
      <c r="I3" s="1293"/>
      <c r="J3" s="1294"/>
      <c r="K3" s="1293" t="s">
        <v>285</v>
      </c>
      <c r="L3" s="1293"/>
      <c r="M3" s="1294"/>
      <c r="N3" s="1296" t="s">
        <v>279</v>
      </c>
      <c r="O3" s="1297"/>
      <c r="P3" s="1298"/>
      <c r="Q3" s="1296" t="s">
        <v>285</v>
      </c>
      <c r="R3" s="1297"/>
      <c r="S3" s="1298"/>
      <c r="T3" s="1296" t="s">
        <v>279</v>
      </c>
      <c r="U3" s="1297"/>
      <c r="V3" s="1298"/>
      <c r="W3" s="1296" t="s">
        <v>285</v>
      </c>
      <c r="X3" s="1297"/>
      <c r="Y3" s="1298"/>
      <c r="Z3" s="1296" t="s">
        <v>279</v>
      </c>
      <c r="AA3" s="1297"/>
      <c r="AB3" s="1298"/>
      <c r="AC3" s="1296" t="s">
        <v>285</v>
      </c>
      <c r="AD3" s="1297"/>
      <c r="AE3" s="1298"/>
      <c r="AF3" s="1296" t="s">
        <v>279</v>
      </c>
      <c r="AG3" s="1297"/>
      <c r="AH3" s="1298"/>
      <c r="AI3" s="1297" t="s">
        <v>285</v>
      </c>
      <c r="AJ3" s="1297"/>
      <c r="AK3" s="1298"/>
      <c r="AL3" s="1296" t="s">
        <v>279</v>
      </c>
      <c r="AM3" s="1297"/>
      <c r="AN3" s="1298"/>
      <c r="AO3" s="1297" t="s">
        <v>285</v>
      </c>
      <c r="AP3" s="1297"/>
      <c r="AQ3" s="1298"/>
      <c r="AR3" s="1296" t="s">
        <v>279</v>
      </c>
      <c r="AS3" s="1297"/>
      <c r="AT3" s="1298"/>
      <c r="AU3" s="1296" t="s">
        <v>285</v>
      </c>
      <c r="AV3" s="1297"/>
      <c r="AW3" s="1298"/>
      <c r="AX3" s="1296" t="s">
        <v>279</v>
      </c>
      <c r="AY3" s="1297"/>
      <c r="AZ3" s="1298"/>
      <c r="BA3" s="1296" t="s">
        <v>285</v>
      </c>
      <c r="BB3" s="1297"/>
      <c r="BC3" s="1298"/>
      <c r="BD3" s="1296" t="s">
        <v>279</v>
      </c>
      <c r="BE3" s="1297"/>
      <c r="BF3" s="1298"/>
      <c r="BG3" s="1296" t="s">
        <v>285</v>
      </c>
      <c r="BH3" s="1297"/>
      <c r="BI3" s="1298"/>
      <c r="BJ3" s="1296" t="s">
        <v>279</v>
      </c>
      <c r="BK3" s="1297"/>
      <c r="BL3" s="1298"/>
      <c r="BM3" s="1296" t="s">
        <v>285</v>
      </c>
      <c r="BN3" s="1297"/>
      <c r="BO3" s="1298"/>
      <c r="BP3" s="1296" t="s">
        <v>279</v>
      </c>
      <c r="BQ3" s="1297"/>
      <c r="BR3" s="1298"/>
      <c r="BS3" s="1296" t="s">
        <v>285</v>
      </c>
      <c r="BT3" s="1297"/>
      <c r="BU3" s="1298"/>
      <c r="BV3" s="1296" t="s">
        <v>279</v>
      </c>
      <c r="BW3" s="1297"/>
      <c r="BX3" s="1298"/>
      <c r="BY3" s="1297" t="s">
        <v>285</v>
      </c>
      <c r="BZ3" s="1297"/>
      <c r="CA3" s="1298"/>
      <c r="CB3" s="1296" t="s">
        <v>279</v>
      </c>
      <c r="CC3" s="1297"/>
      <c r="CD3" s="1298"/>
      <c r="CE3" s="1296" t="s">
        <v>285</v>
      </c>
      <c r="CF3" s="1297"/>
      <c r="CG3" s="1298"/>
      <c r="CH3" s="1296" t="s">
        <v>279</v>
      </c>
      <c r="CI3" s="1297"/>
      <c r="CJ3" s="1298"/>
      <c r="CK3" s="1296" t="s">
        <v>285</v>
      </c>
      <c r="CL3" s="1297"/>
      <c r="CM3" s="1298"/>
      <c r="CN3" s="1296" t="s">
        <v>279</v>
      </c>
      <c r="CO3" s="1297"/>
      <c r="CP3" s="1298"/>
      <c r="CQ3" s="1296" t="s">
        <v>285</v>
      </c>
      <c r="CR3" s="1297"/>
      <c r="CS3" s="1298"/>
      <c r="CT3" s="1296" t="s">
        <v>279</v>
      </c>
      <c r="CU3" s="1297"/>
      <c r="CV3" s="1298"/>
      <c r="CW3" s="1296" t="s">
        <v>285</v>
      </c>
      <c r="CX3" s="1297"/>
      <c r="CY3" s="1298"/>
      <c r="CZ3" s="1296" t="s">
        <v>279</v>
      </c>
      <c r="DA3" s="1297"/>
      <c r="DB3" s="1298"/>
      <c r="DC3" s="1293" t="s">
        <v>285</v>
      </c>
      <c r="DD3" s="1293"/>
      <c r="DE3" s="1294"/>
      <c r="DF3" s="1296" t="s">
        <v>279</v>
      </c>
      <c r="DG3" s="1297"/>
      <c r="DH3" s="1298"/>
      <c r="DI3" s="1297" t="s">
        <v>285</v>
      </c>
      <c r="DJ3" s="1297"/>
      <c r="DK3" s="1298"/>
      <c r="DL3" s="1296" t="s">
        <v>279</v>
      </c>
      <c r="DM3" s="1297"/>
      <c r="DN3" s="1298"/>
      <c r="DO3" s="1297" t="s">
        <v>285</v>
      </c>
      <c r="DP3" s="1297"/>
      <c r="DQ3" s="1298"/>
      <c r="DR3" s="1297" t="s">
        <v>279</v>
      </c>
      <c r="DS3" s="1297"/>
      <c r="DT3" s="1298"/>
      <c r="DU3" s="1297" t="s">
        <v>285</v>
      </c>
      <c r="DV3" s="1297"/>
      <c r="DW3" s="1298"/>
      <c r="DX3" s="1296" t="s">
        <v>279</v>
      </c>
      <c r="DY3" s="1297"/>
      <c r="DZ3" s="1298"/>
      <c r="EA3" s="1296" t="s">
        <v>285</v>
      </c>
      <c r="EB3" s="1297"/>
      <c r="EC3" s="1298"/>
      <c r="ED3" s="1296" t="s">
        <v>279</v>
      </c>
      <c r="EE3" s="1297"/>
      <c r="EF3" s="1298"/>
      <c r="EG3" s="1297" t="s">
        <v>285</v>
      </c>
      <c r="EH3" s="1297"/>
      <c r="EI3" s="1298"/>
      <c r="EJ3" s="1296" t="s">
        <v>279</v>
      </c>
      <c r="EK3" s="1297"/>
      <c r="EL3" s="1298"/>
      <c r="EM3" s="1297" t="s">
        <v>285</v>
      </c>
      <c r="EN3" s="1297"/>
      <c r="EO3" s="1298"/>
      <c r="EP3" s="1296" t="s">
        <v>279</v>
      </c>
      <c r="EQ3" s="1297"/>
      <c r="ER3" s="1298"/>
      <c r="ES3" s="1297" t="s">
        <v>285</v>
      </c>
      <c r="ET3" s="1297"/>
      <c r="EU3" s="1298"/>
    </row>
    <row r="4" spans="1:154" s="546" customFormat="1" ht="72" thickBot="1">
      <c r="A4" s="1196" t="s">
        <v>360</v>
      </c>
      <c r="B4" s="744" t="s">
        <v>280</v>
      </c>
      <c r="C4" s="744" t="s">
        <v>281</v>
      </c>
      <c r="D4" s="833" t="s">
        <v>282</v>
      </c>
      <c r="E4" s="805" t="s">
        <v>280</v>
      </c>
      <c r="F4" s="805" t="s">
        <v>281</v>
      </c>
      <c r="G4" s="806" t="s">
        <v>283</v>
      </c>
      <c r="H4" s="741" t="s">
        <v>280</v>
      </c>
      <c r="I4" s="742" t="s">
        <v>281</v>
      </c>
      <c r="J4" s="743" t="s">
        <v>282</v>
      </c>
      <c r="K4" s="742" t="s">
        <v>280</v>
      </c>
      <c r="L4" s="742" t="s">
        <v>281</v>
      </c>
      <c r="M4" s="743" t="s">
        <v>283</v>
      </c>
      <c r="N4" s="741" t="s">
        <v>280</v>
      </c>
      <c r="O4" s="742" t="s">
        <v>281</v>
      </c>
      <c r="P4" s="743" t="s">
        <v>283</v>
      </c>
      <c r="Q4" s="742" t="s">
        <v>280</v>
      </c>
      <c r="R4" s="742" t="s">
        <v>281</v>
      </c>
      <c r="S4" s="743" t="s">
        <v>283</v>
      </c>
      <c r="T4" s="741" t="s">
        <v>280</v>
      </c>
      <c r="U4" s="742" t="s">
        <v>281</v>
      </c>
      <c r="V4" s="743" t="s">
        <v>283</v>
      </c>
      <c r="W4" s="741" t="s">
        <v>280</v>
      </c>
      <c r="X4" s="742" t="s">
        <v>281</v>
      </c>
      <c r="Y4" s="743" t="s">
        <v>283</v>
      </c>
      <c r="Z4" s="741" t="s">
        <v>280</v>
      </c>
      <c r="AA4" s="742" t="s">
        <v>281</v>
      </c>
      <c r="AB4" s="743" t="s">
        <v>283</v>
      </c>
      <c r="AC4" s="741" t="s">
        <v>280</v>
      </c>
      <c r="AD4" s="742" t="s">
        <v>281</v>
      </c>
      <c r="AE4" s="743" t="s">
        <v>283</v>
      </c>
      <c r="AF4" s="741" t="s">
        <v>280</v>
      </c>
      <c r="AG4" s="742" t="s">
        <v>281</v>
      </c>
      <c r="AH4" s="743" t="s">
        <v>283</v>
      </c>
      <c r="AI4" s="742" t="s">
        <v>280</v>
      </c>
      <c r="AJ4" s="742" t="s">
        <v>281</v>
      </c>
      <c r="AK4" s="743" t="s">
        <v>283</v>
      </c>
      <c r="AL4" s="741" t="s">
        <v>280</v>
      </c>
      <c r="AM4" s="742" t="s">
        <v>281</v>
      </c>
      <c r="AN4" s="743" t="s">
        <v>283</v>
      </c>
      <c r="AO4" s="742" t="s">
        <v>280</v>
      </c>
      <c r="AP4" s="742" t="s">
        <v>281</v>
      </c>
      <c r="AQ4" s="743" t="s">
        <v>283</v>
      </c>
      <c r="AR4" s="741" t="s">
        <v>280</v>
      </c>
      <c r="AS4" s="742" t="s">
        <v>281</v>
      </c>
      <c r="AT4" s="743" t="s">
        <v>283</v>
      </c>
      <c r="AU4" s="741" t="s">
        <v>280</v>
      </c>
      <c r="AV4" s="742" t="s">
        <v>281</v>
      </c>
      <c r="AW4" s="743" t="s">
        <v>283</v>
      </c>
      <c r="AX4" s="741" t="s">
        <v>280</v>
      </c>
      <c r="AY4" s="742" t="s">
        <v>281</v>
      </c>
      <c r="AZ4" s="743" t="s">
        <v>283</v>
      </c>
      <c r="BA4" s="741" t="s">
        <v>280</v>
      </c>
      <c r="BB4" s="742" t="s">
        <v>281</v>
      </c>
      <c r="BC4" s="743" t="s">
        <v>283</v>
      </c>
      <c r="BD4" s="741" t="s">
        <v>280</v>
      </c>
      <c r="BE4" s="742" t="s">
        <v>281</v>
      </c>
      <c r="BF4" s="743" t="s">
        <v>283</v>
      </c>
      <c r="BG4" s="741" t="s">
        <v>280</v>
      </c>
      <c r="BH4" s="742" t="s">
        <v>281</v>
      </c>
      <c r="BI4" s="743" t="s">
        <v>283</v>
      </c>
      <c r="BJ4" s="741" t="s">
        <v>280</v>
      </c>
      <c r="BK4" s="742" t="s">
        <v>281</v>
      </c>
      <c r="BL4" s="743" t="s">
        <v>283</v>
      </c>
      <c r="BM4" s="741" t="s">
        <v>280</v>
      </c>
      <c r="BN4" s="742" t="s">
        <v>281</v>
      </c>
      <c r="BO4" s="743" t="s">
        <v>283</v>
      </c>
      <c r="BP4" s="741" t="s">
        <v>280</v>
      </c>
      <c r="BQ4" s="742" t="s">
        <v>281</v>
      </c>
      <c r="BR4" s="743" t="s">
        <v>283</v>
      </c>
      <c r="BS4" s="741" t="s">
        <v>280</v>
      </c>
      <c r="BT4" s="742" t="s">
        <v>281</v>
      </c>
      <c r="BU4" s="743" t="s">
        <v>283</v>
      </c>
      <c r="BV4" s="741" t="s">
        <v>280</v>
      </c>
      <c r="BW4" s="742" t="s">
        <v>281</v>
      </c>
      <c r="BX4" s="743" t="s">
        <v>283</v>
      </c>
      <c r="BY4" s="742" t="s">
        <v>280</v>
      </c>
      <c r="BZ4" s="742" t="s">
        <v>281</v>
      </c>
      <c r="CA4" s="743" t="s">
        <v>283</v>
      </c>
      <c r="CB4" s="741" t="s">
        <v>280</v>
      </c>
      <c r="CC4" s="742" t="s">
        <v>281</v>
      </c>
      <c r="CD4" s="743" t="s">
        <v>283</v>
      </c>
      <c r="CE4" s="741" t="s">
        <v>280</v>
      </c>
      <c r="CF4" s="742" t="s">
        <v>281</v>
      </c>
      <c r="CG4" s="743" t="s">
        <v>283</v>
      </c>
      <c r="CH4" s="741" t="s">
        <v>280</v>
      </c>
      <c r="CI4" s="742" t="s">
        <v>281</v>
      </c>
      <c r="CJ4" s="743" t="s">
        <v>283</v>
      </c>
      <c r="CK4" s="741" t="s">
        <v>280</v>
      </c>
      <c r="CL4" s="742" t="s">
        <v>281</v>
      </c>
      <c r="CM4" s="743" t="s">
        <v>283</v>
      </c>
      <c r="CN4" s="741" t="s">
        <v>280</v>
      </c>
      <c r="CO4" s="742" t="s">
        <v>281</v>
      </c>
      <c r="CP4" s="743" t="s">
        <v>283</v>
      </c>
      <c r="CQ4" s="741" t="s">
        <v>280</v>
      </c>
      <c r="CR4" s="742" t="s">
        <v>281</v>
      </c>
      <c r="CS4" s="743" t="s">
        <v>283</v>
      </c>
      <c r="CT4" s="741" t="s">
        <v>280</v>
      </c>
      <c r="CU4" s="742" t="s">
        <v>281</v>
      </c>
      <c r="CV4" s="743" t="s">
        <v>283</v>
      </c>
      <c r="CW4" s="741" t="s">
        <v>280</v>
      </c>
      <c r="CX4" s="742" t="s">
        <v>281</v>
      </c>
      <c r="CY4" s="743" t="s">
        <v>283</v>
      </c>
      <c r="CZ4" s="741" t="s">
        <v>280</v>
      </c>
      <c r="DA4" s="742" t="s">
        <v>281</v>
      </c>
      <c r="DB4" s="743" t="s">
        <v>283</v>
      </c>
      <c r="DC4" s="762" t="s">
        <v>280</v>
      </c>
      <c r="DD4" s="763" t="s">
        <v>281</v>
      </c>
      <c r="DE4" s="764" t="s">
        <v>283</v>
      </c>
      <c r="DF4" s="742" t="s">
        <v>280</v>
      </c>
      <c r="DG4" s="742" t="s">
        <v>281</v>
      </c>
      <c r="DH4" s="743" t="s">
        <v>283</v>
      </c>
      <c r="DI4" s="742" t="s">
        <v>280</v>
      </c>
      <c r="DJ4" s="742" t="s">
        <v>281</v>
      </c>
      <c r="DK4" s="743" t="s">
        <v>283</v>
      </c>
      <c r="DL4" s="741" t="s">
        <v>280</v>
      </c>
      <c r="DM4" s="742" t="s">
        <v>281</v>
      </c>
      <c r="DN4" s="743" t="s">
        <v>283</v>
      </c>
      <c r="DO4" s="742" t="s">
        <v>280</v>
      </c>
      <c r="DP4" s="742" t="s">
        <v>281</v>
      </c>
      <c r="DQ4" s="743" t="s">
        <v>283</v>
      </c>
      <c r="DR4" s="742" t="s">
        <v>280</v>
      </c>
      <c r="DS4" s="742" t="s">
        <v>281</v>
      </c>
      <c r="DT4" s="743" t="s">
        <v>283</v>
      </c>
      <c r="DU4" s="742" t="s">
        <v>280</v>
      </c>
      <c r="DV4" s="742" t="s">
        <v>281</v>
      </c>
      <c r="DW4" s="743" t="s">
        <v>283</v>
      </c>
      <c r="DX4" s="748" t="s">
        <v>280</v>
      </c>
      <c r="DY4" s="749" t="s">
        <v>281</v>
      </c>
      <c r="DZ4" s="750" t="s">
        <v>283</v>
      </c>
      <c r="EA4" s="748" t="s">
        <v>280</v>
      </c>
      <c r="EB4" s="749" t="s">
        <v>281</v>
      </c>
      <c r="EC4" s="750" t="s">
        <v>283</v>
      </c>
      <c r="ED4" s="741" t="s">
        <v>280</v>
      </c>
      <c r="EE4" s="742" t="s">
        <v>281</v>
      </c>
      <c r="EF4" s="743" t="s">
        <v>283</v>
      </c>
      <c r="EG4" s="742" t="s">
        <v>280</v>
      </c>
      <c r="EH4" s="742" t="s">
        <v>281</v>
      </c>
      <c r="EI4" s="743" t="s">
        <v>283</v>
      </c>
      <c r="EJ4" s="741" t="s">
        <v>280</v>
      </c>
      <c r="EK4" s="742" t="s">
        <v>281</v>
      </c>
      <c r="EL4" s="743" t="s">
        <v>283</v>
      </c>
      <c r="EM4" s="742" t="s">
        <v>280</v>
      </c>
      <c r="EN4" s="742" t="s">
        <v>281</v>
      </c>
      <c r="EO4" s="743" t="s">
        <v>283</v>
      </c>
      <c r="EP4" s="746" t="s">
        <v>280</v>
      </c>
      <c r="EQ4" s="747" t="s">
        <v>281</v>
      </c>
      <c r="ER4" s="743" t="s">
        <v>283</v>
      </c>
      <c r="ES4" s="742" t="s">
        <v>280</v>
      </c>
      <c r="ET4" s="742" t="s">
        <v>281</v>
      </c>
      <c r="EU4" s="743" t="s">
        <v>283</v>
      </c>
    </row>
    <row r="5" spans="1:154" s="706" customFormat="1" ht="15" thickBot="1">
      <c r="A5" s="907" t="s">
        <v>358</v>
      </c>
      <c r="B5" s="917">
        <v>13812</v>
      </c>
      <c r="C5" s="918">
        <v>14565</v>
      </c>
      <c r="D5" s="751">
        <v>52.91</v>
      </c>
      <c r="E5" s="917">
        <v>38632</v>
      </c>
      <c r="F5" s="918">
        <v>40504</v>
      </c>
      <c r="G5" s="751">
        <v>275</v>
      </c>
      <c r="H5" s="752"/>
      <c r="I5" s="753"/>
      <c r="J5" s="754">
        <v>5.0000000000000001E-3</v>
      </c>
      <c r="K5" s="910">
        <v>3459</v>
      </c>
      <c r="L5" s="911">
        <v>2770</v>
      </c>
      <c r="M5" s="754">
        <v>9.09</v>
      </c>
      <c r="N5" s="760">
        <v>350</v>
      </c>
      <c r="O5" s="910">
        <v>349</v>
      </c>
      <c r="P5" s="754">
        <v>1.32</v>
      </c>
      <c r="Q5" s="910">
        <v>4191</v>
      </c>
      <c r="R5" s="911">
        <v>4097</v>
      </c>
      <c r="S5" s="754">
        <v>28.93</v>
      </c>
      <c r="T5" s="760">
        <v>23002</v>
      </c>
      <c r="U5" s="910">
        <v>20941</v>
      </c>
      <c r="V5" s="754">
        <v>70</v>
      </c>
      <c r="W5" s="760">
        <v>67359</v>
      </c>
      <c r="X5" s="911">
        <v>58563</v>
      </c>
      <c r="Y5" s="754">
        <v>275</v>
      </c>
      <c r="Z5" s="760">
        <v>2852</v>
      </c>
      <c r="AA5" s="910">
        <v>2868</v>
      </c>
      <c r="AB5" s="754">
        <v>10.16</v>
      </c>
      <c r="AC5" s="760">
        <v>18616</v>
      </c>
      <c r="AD5" s="911">
        <v>18651</v>
      </c>
      <c r="AE5" s="754">
        <v>84.45</v>
      </c>
      <c r="AF5" s="760">
        <v>7190</v>
      </c>
      <c r="AG5" s="911">
        <v>7008</v>
      </c>
      <c r="AH5" s="754">
        <v>29.3</v>
      </c>
      <c r="AI5" s="910">
        <v>18037</v>
      </c>
      <c r="AJ5" s="911">
        <v>17588</v>
      </c>
      <c r="AK5" s="754">
        <v>159.65</v>
      </c>
      <c r="AL5" s="690">
        <v>1601</v>
      </c>
      <c r="AM5" s="691">
        <v>1576</v>
      </c>
      <c r="AN5" s="756">
        <v>11.58</v>
      </c>
      <c r="AO5" s="922">
        <v>2776</v>
      </c>
      <c r="AP5" s="691">
        <v>2644</v>
      </c>
      <c r="AQ5" s="756">
        <v>17.25</v>
      </c>
      <c r="AR5" s="760">
        <v>3746</v>
      </c>
      <c r="AS5" s="911">
        <v>3639</v>
      </c>
      <c r="AT5" s="754">
        <v>9.7514260999999998</v>
      </c>
      <c r="AU5" s="760">
        <v>14261</v>
      </c>
      <c r="AV5" s="911">
        <v>13647</v>
      </c>
      <c r="AW5" s="754">
        <v>49.51</v>
      </c>
      <c r="AX5" s="760">
        <v>6727</v>
      </c>
      <c r="AY5" s="911">
        <v>6635</v>
      </c>
      <c r="AZ5" s="754">
        <v>16.440000000000001</v>
      </c>
      <c r="BA5" s="760">
        <v>18647</v>
      </c>
      <c r="BB5" s="911">
        <v>18188</v>
      </c>
      <c r="BC5" s="754">
        <v>78.34</v>
      </c>
      <c r="BD5" s="760">
        <v>2626</v>
      </c>
      <c r="BE5" s="911">
        <v>2600</v>
      </c>
      <c r="BF5" s="754">
        <v>7.94</v>
      </c>
      <c r="BG5" s="760">
        <v>8616</v>
      </c>
      <c r="BH5" s="911">
        <v>8363</v>
      </c>
      <c r="BI5" s="754">
        <v>47.26</v>
      </c>
      <c r="BJ5" s="924">
        <v>45879</v>
      </c>
      <c r="BK5" s="910">
        <v>46155</v>
      </c>
      <c r="BL5" s="754">
        <v>197.02</v>
      </c>
      <c r="BM5" s="760">
        <v>148659</v>
      </c>
      <c r="BN5" s="911">
        <v>150022</v>
      </c>
      <c r="BO5" s="754">
        <v>1362.77</v>
      </c>
      <c r="BP5" s="760">
        <v>21950</v>
      </c>
      <c r="BQ5" s="911">
        <v>21494</v>
      </c>
      <c r="BR5" s="757">
        <v>102</v>
      </c>
      <c r="BS5" s="760">
        <v>99004</v>
      </c>
      <c r="BT5" s="911">
        <v>96561</v>
      </c>
      <c r="BU5" s="757">
        <v>809</v>
      </c>
      <c r="BV5" s="760">
        <v>1421</v>
      </c>
      <c r="BW5" s="911">
        <v>1203</v>
      </c>
      <c r="BX5" s="754">
        <v>16.82</v>
      </c>
      <c r="BY5" s="910">
        <v>3588</v>
      </c>
      <c r="BZ5" s="911">
        <v>3044</v>
      </c>
      <c r="CA5" s="754">
        <v>40</v>
      </c>
      <c r="CB5" s="760"/>
      <c r="CC5" s="911"/>
      <c r="CD5" s="754"/>
      <c r="CE5" s="760"/>
      <c r="CF5" s="911"/>
      <c r="CG5" s="757"/>
      <c r="CH5" s="760">
        <v>8943</v>
      </c>
      <c r="CI5" s="911">
        <v>9077</v>
      </c>
      <c r="CJ5" s="754">
        <v>17.2</v>
      </c>
      <c r="CK5" s="760">
        <v>49294</v>
      </c>
      <c r="CL5" s="911">
        <v>48983</v>
      </c>
      <c r="CM5" s="754">
        <v>338.17</v>
      </c>
      <c r="CN5" s="760">
        <v>33652</v>
      </c>
      <c r="CO5" s="911">
        <v>32913</v>
      </c>
      <c r="CP5" s="754">
        <v>193.14</v>
      </c>
      <c r="CQ5" s="760">
        <v>89501</v>
      </c>
      <c r="CR5" s="911">
        <v>85751</v>
      </c>
      <c r="CS5" s="754">
        <v>666.59</v>
      </c>
      <c r="CT5" s="760">
        <v>12620</v>
      </c>
      <c r="CU5" s="911">
        <v>12620</v>
      </c>
      <c r="CV5" s="754">
        <v>51.49</v>
      </c>
      <c r="CW5" s="760">
        <v>30081</v>
      </c>
      <c r="CX5" s="911">
        <v>28481</v>
      </c>
      <c r="CY5" s="754">
        <v>149.81</v>
      </c>
      <c r="CZ5" s="319"/>
      <c r="DA5" s="931"/>
      <c r="DB5" s="932"/>
      <c r="DC5" s="933"/>
      <c r="DD5" s="934"/>
      <c r="DE5" s="765"/>
      <c r="DF5" s="755"/>
      <c r="DG5" s="753"/>
      <c r="DH5" s="754"/>
      <c r="DI5" s="755"/>
      <c r="DJ5" s="753"/>
      <c r="DK5" s="754"/>
      <c r="DL5" s="925">
        <v>48628</v>
      </c>
      <c r="DM5" s="926">
        <v>48628</v>
      </c>
      <c r="DN5" s="909">
        <v>249</v>
      </c>
      <c r="DO5" s="927">
        <v>141072</v>
      </c>
      <c r="DP5" s="926">
        <v>141072</v>
      </c>
      <c r="DQ5" s="909">
        <v>1088</v>
      </c>
      <c r="DR5" s="929">
        <v>14399</v>
      </c>
      <c r="DS5" s="929">
        <v>14251</v>
      </c>
      <c r="DT5" s="834">
        <v>28.72</v>
      </c>
      <c r="DU5" s="929">
        <v>17809</v>
      </c>
      <c r="DV5" s="929">
        <v>17470</v>
      </c>
      <c r="DW5" s="834">
        <v>43.43</v>
      </c>
      <c r="DX5" s="915">
        <v>3254</v>
      </c>
      <c r="DY5" s="916">
        <v>3254</v>
      </c>
      <c r="DZ5" s="758">
        <v>23.33</v>
      </c>
      <c r="EA5" s="913">
        <v>5326</v>
      </c>
      <c r="EB5" s="914">
        <v>5326</v>
      </c>
      <c r="EC5" s="759">
        <v>46.66</v>
      </c>
      <c r="ED5" s="912">
        <v>19668</v>
      </c>
      <c r="EE5" s="912">
        <v>19593</v>
      </c>
      <c r="EF5" s="833">
        <v>73.790000000000006</v>
      </c>
      <c r="EG5" s="912">
        <v>75703</v>
      </c>
      <c r="EH5" s="912">
        <v>75342</v>
      </c>
      <c r="EI5" s="833">
        <v>620.77</v>
      </c>
      <c r="EJ5" s="760">
        <v>437283</v>
      </c>
      <c r="EK5" s="911">
        <v>408013</v>
      </c>
      <c r="EL5" s="754">
        <v>662.06</v>
      </c>
      <c r="EM5" s="910">
        <v>1475327</v>
      </c>
      <c r="EN5" s="911">
        <v>1415032</v>
      </c>
      <c r="EO5" s="754">
        <v>7414.75</v>
      </c>
      <c r="EP5" s="760">
        <f t="shared" ref="EP5:EU6" si="0">SUM(B5+H5+N5+T5+Z5+AF5+AL5+AR5+AX5+BD5+BJ5+BP5+BV5+CB5+CH5+CN5+CT5+CZ5+DF5+DL5+DR5+DX5+ED5+EJ5)</f>
        <v>709603</v>
      </c>
      <c r="EQ5" s="760">
        <f t="shared" si="0"/>
        <v>677382</v>
      </c>
      <c r="ER5" s="761">
        <f t="shared" si="0"/>
        <v>1823.9764261</v>
      </c>
      <c r="ES5" s="760">
        <f t="shared" si="0"/>
        <v>2329958</v>
      </c>
      <c r="ET5" s="760">
        <f t="shared" si="0"/>
        <v>2252099</v>
      </c>
      <c r="EU5" s="761">
        <f t="shared" si="0"/>
        <v>13604.43</v>
      </c>
      <c r="EX5" s="807"/>
    </row>
    <row r="6" spans="1:154">
      <c r="A6" s="906" t="s">
        <v>359</v>
      </c>
      <c r="B6" s="919"/>
      <c r="C6" s="14"/>
      <c r="D6" s="745"/>
      <c r="E6" s="919">
        <v>135</v>
      </c>
      <c r="F6" s="14">
        <v>243995</v>
      </c>
      <c r="G6" s="745">
        <v>589</v>
      </c>
      <c r="H6" s="2"/>
      <c r="I6" s="3"/>
      <c r="J6" s="4"/>
      <c r="K6" s="21">
        <v>16</v>
      </c>
      <c r="L6" s="18">
        <v>40041</v>
      </c>
      <c r="M6" s="1">
        <v>4.0199999999999996</v>
      </c>
      <c r="N6" s="19"/>
      <c r="O6" s="21"/>
      <c r="P6" s="4"/>
      <c r="Q6" s="21">
        <v>47</v>
      </c>
      <c r="R6" s="18">
        <v>200743</v>
      </c>
      <c r="S6" s="4">
        <v>16.940000000000001</v>
      </c>
      <c r="T6" s="19"/>
      <c r="U6" s="21"/>
      <c r="V6" s="4"/>
      <c r="W6" s="19">
        <v>17</v>
      </c>
      <c r="X6" s="18">
        <v>1657857</v>
      </c>
      <c r="Y6" s="4">
        <v>397</v>
      </c>
      <c r="Z6" s="19"/>
      <c r="AA6" s="21"/>
      <c r="AB6" s="4"/>
      <c r="AC6" s="19">
        <v>6</v>
      </c>
      <c r="AD6" s="18">
        <v>515371</v>
      </c>
      <c r="AE6" s="4">
        <v>15.09</v>
      </c>
      <c r="AF6" s="19"/>
      <c r="AG6" s="461"/>
      <c r="AH6" s="283"/>
      <c r="AI6" s="21">
        <v>7</v>
      </c>
      <c r="AJ6" s="18">
        <v>3523448</v>
      </c>
      <c r="AK6" s="4">
        <v>292.3</v>
      </c>
      <c r="AL6" s="920">
        <v>30</v>
      </c>
      <c r="AM6" s="921">
        <v>1037414</v>
      </c>
      <c r="AN6" s="277">
        <v>6.15</v>
      </c>
      <c r="AO6" s="923">
        <v>31</v>
      </c>
      <c r="AP6" s="921">
        <v>18422</v>
      </c>
      <c r="AQ6" s="334">
        <v>3.4</v>
      </c>
      <c r="AR6" s="19"/>
      <c r="AS6" s="18"/>
      <c r="AT6" s="4"/>
      <c r="AU6" s="19">
        <v>8</v>
      </c>
      <c r="AV6" s="18">
        <v>18013</v>
      </c>
      <c r="AW6" s="4">
        <v>3.31</v>
      </c>
      <c r="AX6" s="19"/>
      <c r="AY6" s="18"/>
      <c r="AZ6" s="4"/>
      <c r="BA6" s="19">
        <v>10</v>
      </c>
      <c r="BB6" s="18">
        <v>36202</v>
      </c>
      <c r="BC6" s="4">
        <v>7.37</v>
      </c>
      <c r="BD6" s="19"/>
      <c r="BE6" s="18"/>
      <c r="BF6" s="4"/>
      <c r="BG6" s="19">
        <v>6</v>
      </c>
      <c r="BH6" s="18">
        <v>16320</v>
      </c>
      <c r="BI6" s="4">
        <v>10.37</v>
      </c>
      <c r="BJ6" s="317"/>
      <c r="BK6" s="21"/>
      <c r="BL6" s="445"/>
      <c r="BM6" s="19">
        <v>62</v>
      </c>
      <c r="BN6" s="18">
        <v>2524235</v>
      </c>
      <c r="BO6" s="4">
        <v>1078.8599999999999</v>
      </c>
      <c r="BP6" s="19"/>
      <c r="BQ6" s="18"/>
      <c r="BR6" s="4"/>
      <c r="BS6" s="19">
        <v>919</v>
      </c>
      <c r="BT6" s="18">
        <v>2940992</v>
      </c>
      <c r="BU6" s="4">
        <v>696</v>
      </c>
      <c r="BV6" s="55"/>
      <c r="BW6" s="24"/>
      <c r="BX6" s="5"/>
      <c r="BY6" s="23">
        <v>1</v>
      </c>
      <c r="BZ6" s="24">
        <v>1628</v>
      </c>
      <c r="CA6" s="1">
        <v>7.07</v>
      </c>
      <c r="CB6" s="19"/>
      <c r="CC6" s="18"/>
      <c r="CD6" s="4"/>
      <c r="CE6" s="19"/>
      <c r="CF6" s="18"/>
      <c r="CG6" s="4"/>
      <c r="CH6" s="19"/>
      <c r="CI6" s="18"/>
      <c r="CJ6" s="4"/>
      <c r="CK6" s="19">
        <v>250</v>
      </c>
      <c r="CL6" s="18">
        <v>1645080</v>
      </c>
      <c r="CM6" s="4">
        <v>210.52</v>
      </c>
      <c r="CN6" s="19"/>
      <c r="CO6" s="18"/>
      <c r="CP6" s="4"/>
      <c r="CQ6" s="19">
        <v>204</v>
      </c>
      <c r="CR6" s="18">
        <v>1065061</v>
      </c>
      <c r="CS6" s="4">
        <v>39.729999999999997</v>
      </c>
      <c r="CT6" s="19"/>
      <c r="CU6" s="18">
        <v>8626</v>
      </c>
      <c r="CV6" s="4">
        <v>6.51</v>
      </c>
      <c r="CW6" s="19">
        <v>26</v>
      </c>
      <c r="CX6" s="18">
        <v>165397</v>
      </c>
      <c r="CY6" s="4">
        <v>31.07</v>
      </c>
      <c r="CZ6" s="19"/>
      <c r="DA6" s="18"/>
      <c r="DB6" s="4"/>
      <c r="DC6" s="19">
        <v>8</v>
      </c>
      <c r="DD6" s="18">
        <v>38900</v>
      </c>
      <c r="DE6" s="4">
        <v>6.37</v>
      </c>
      <c r="DF6" s="25"/>
      <c r="DG6" s="3"/>
      <c r="DH6" s="4"/>
      <c r="DI6" s="20"/>
      <c r="DJ6" s="3"/>
      <c r="DK6" s="4"/>
      <c r="DL6" s="19"/>
      <c r="DM6" s="21"/>
      <c r="DN6" s="4"/>
      <c r="DO6" s="928">
        <v>7</v>
      </c>
      <c r="DP6" s="205">
        <v>1302769</v>
      </c>
      <c r="DQ6" s="278">
        <v>1722</v>
      </c>
      <c r="DR6" s="26"/>
      <c r="DS6" s="27">
        <v>11728</v>
      </c>
      <c r="DT6" s="270">
        <v>0.51</v>
      </c>
      <c r="DU6" s="26">
        <v>2</v>
      </c>
      <c r="DV6" s="27">
        <v>107877</v>
      </c>
      <c r="DW6" s="270">
        <v>6.83</v>
      </c>
      <c r="DX6" s="206"/>
      <c r="DY6" s="29"/>
      <c r="DZ6" s="272"/>
      <c r="EA6" s="28">
        <v>2</v>
      </c>
      <c r="EB6" s="29">
        <v>836530</v>
      </c>
      <c r="EC6" s="272">
        <v>35.369999999999997</v>
      </c>
      <c r="ED6" s="21"/>
      <c r="EE6" s="18"/>
      <c r="EF6" s="4"/>
      <c r="EG6" s="21">
        <v>89</v>
      </c>
      <c r="EH6" s="18">
        <v>171461</v>
      </c>
      <c r="EI6" s="1">
        <v>20.87</v>
      </c>
      <c r="EJ6" s="206">
        <v>37</v>
      </c>
      <c r="EK6" s="29">
        <v>502455</v>
      </c>
      <c r="EL6" s="272">
        <v>2616</v>
      </c>
      <c r="EM6" s="28">
        <v>2393</v>
      </c>
      <c r="EN6" s="29">
        <v>1941060</v>
      </c>
      <c r="EO6" s="272">
        <v>28450</v>
      </c>
      <c r="EP6" s="760">
        <f t="shared" si="0"/>
        <v>67</v>
      </c>
      <c r="EQ6" s="760">
        <f>SUM(C6+I6+O6+U6+AA6+AG6+AM6+AS6+AY6+BE6+BK6+BQ6+BW6+CC6+CI6+CO6+CU6+DA6+DG6+DM6+DS6+DY6+EE6+EK6)</f>
        <v>1560223</v>
      </c>
      <c r="ER6" s="760">
        <f>SUM(D6+J6+P6+V6+AB6+AH6+AN6+AT6+AZ6+BF6+BL6+BR6+BX6+CD6+CJ6+CP6+CV6+DB6+DH6+DN6+DT6+DZ6+EF6+EL6)</f>
        <v>2629.17</v>
      </c>
      <c r="ES6" s="760">
        <f>SUM(E6+K6+Q6+W6+AC6+AI6+AO6+AU6+BA6+BG6+BM6+BS6+BY6+CE6+CK6+CQ6+CW6+DC6+DI6+DO6+DU6+EA6+EG6+EM6)</f>
        <v>4246</v>
      </c>
      <c r="ET6" s="760">
        <f>SUM(F6+L6+R6+X6+AD6+AJ6+AP6+AV6+BB6+BH6+BN6+BT6+BZ6+CF6+CL6+CR6+CX6+DD6+DJ6+DP6+DV6+EB6+EH6+EN6)</f>
        <v>19011402</v>
      </c>
      <c r="EU6" s="930">
        <f>SUM(G6+M6+S6+Y6+AE6+AK6+AQ6+AW6+BC6+BI6+BO6+BU6+CA6+CG6+CM6+CS6+CY6+DE6+DK6+DQ6+DW6+EC6+EI6+EO6)</f>
        <v>33643.49</v>
      </c>
    </row>
    <row r="7" spans="1:154" s="1195" customFormat="1" ht="13.5">
      <c r="A7" s="1191" t="s">
        <v>54</v>
      </c>
      <c r="B7" s="1192">
        <f>B5+B6</f>
        <v>13812</v>
      </c>
      <c r="C7" s="869">
        <f t="shared" ref="C7:BN7" si="1">C5+C6</f>
        <v>14565</v>
      </c>
      <c r="D7" s="1193">
        <f t="shared" si="1"/>
        <v>52.91</v>
      </c>
      <c r="E7" s="869">
        <f t="shared" si="1"/>
        <v>38767</v>
      </c>
      <c r="F7" s="869">
        <f t="shared" si="1"/>
        <v>284499</v>
      </c>
      <c r="G7" s="1193">
        <f t="shared" si="1"/>
        <v>864</v>
      </c>
      <c r="H7" s="1193">
        <f t="shared" si="1"/>
        <v>0</v>
      </c>
      <c r="I7" s="1193">
        <f t="shared" si="1"/>
        <v>0</v>
      </c>
      <c r="J7" s="1193">
        <f t="shared" si="1"/>
        <v>5.0000000000000001E-3</v>
      </c>
      <c r="K7" s="869">
        <f t="shared" si="1"/>
        <v>3475</v>
      </c>
      <c r="L7" s="869">
        <f t="shared" si="1"/>
        <v>42811</v>
      </c>
      <c r="M7" s="1193">
        <f t="shared" si="1"/>
        <v>13.11</v>
      </c>
      <c r="N7" s="869">
        <f t="shared" si="1"/>
        <v>350</v>
      </c>
      <c r="O7" s="869">
        <f t="shared" si="1"/>
        <v>349</v>
      </c>
      <c r="P7" s="1193">
        <f t="shared" si="1"/>
        <v>1.32</v>
      </c>
      <c r="Q7" s="869">
        <f t="shared" si="1"/>
        <v>4238</v>
      </c>
      <c r="R7" s="869">
        <f t="shared" si="1"/>
        <v>204840</v>
      </c>
      <c r="S7" s="1193">
        <f t="shared" si="1"/>
        <v>45.870000000000005</v>
      </c>
      <c r="T7" s="869">
        <f t="shared" si="1"/>
        <v>23002</v>
      </c>
      <c r="U7" s="869">
        <f t="shared" si="1"/>
        <v>20941</v>
      </c>
      <c r="V7" s="1193">
        <f t="shared" si="1"/>
        <v>70</v>
      </c>
      <c r="W7" s="869">
        <f t="shared" si="1"/>
        <v>67376</v>
      </c>
      <c r="X7" s="869">
        <f t="shared" si="1"/>
        <v>1716420</v>
      </c>
      <c r="Y7" s="1193">
        <f t="shared" si="1"/>
        <v>672</v>
      </c>
      <c r="Z7" s="869">
        <f t="shared" si="1"/>
        <v>2852</v>
      </c>
      <c r="AA7" s="869">
        <f t="shared" si="1"/>
        <v>2868</v>
      </c>
      <c r="AB7" s="1193">
        <f t="shared" si="1"/>
        <v>10.16</v>
      </c>
      <c r="AC7" s="869">
        <f t="shared" si="1"/>
        <v>18622</v>
      </c>
      <c r="AD7" s="869">
        <f t="shared" si="1"/>
        <v>534022</v>
      </c>
      <c r="AE7" s="1193">
        <f t="shared" si="1"/>
        <v>99.54</v>
      </c>
      <c r="AF7" s="869">
        <f t="shared" si="1"/>
        <v>7190</v>
      </c>
      <c r="AG7" s="869">
        <f t="shared" si="1"/>
        <v>7008</v>
      </c>
      <c r="AH7" s="1193">
        <f t="shared" si="1"/>
        <v>29.3</v>
      </c>
      <c r="AI7" s="869">
        <f t="shared" si="1"/>
        <v>18044</v>
      </c>
      <c r="AJ7" s="869">
        <f t="shared" si="1"/>
        <v>3541036</v>
      </c>
      <c r="AK7" s="1193">
        <f t="shared" si="1"/>
        <v>451.95000000000005</v>
      </c>
      <c r="AL7" s="869">
        <f t="shared" si="1"/>
        <v>1631</v>
      </c>
      <c r="AM7" s="869">
        <f t="shared" si="1"/>
        <v>1038990</v>
      </c>
      <c r="AN7" s="1193">
        <f t="shared" si="1"/>
        <v>17.73</v>
      </c>
      <c r="AO7" s="869">
        <f t="shared" si="1"/>
        <v>2807</v>
      </c>
      <c r="AP7" s="869">
        <f t="shared" si="1"/>
        <v>21066</v>
      </c>
      <c r="AQ7" s="1193">
        <f t="shared" si="1"/>
        <v>20.65</v>
      </c>
      <c r="AR7" s="869">
        <f t="shared" si="1"/>
        <v>3746</v>
      </c>
      <c r="AS7" s="869">
        <f t="shared" si="1"/>
        <v>3639</v>
      </c>
      <c r="AT7" s="1193">
        <f t="shared" si="1"/>
        <v>9.7514260999999998</v>
      </c>
      <c r="AU7" s="869">
        <f t="shared" si="1"/>
        <v>14269</v>
      </c>
      <c r="AV7" s="869">
        <f t="shared" si="1"/>
        <v>31660</v>
      </c>
      <c r="AW7" s="1193">
        <f t="shared" si="1"/>
        <v>52.82</v>
      </c>
      <c r="AX7" s="869">
        <f t="shared" si="1"/>
        <v>6727</v>
      </c>
      <c r="AY7" s="869">
        <f t="shared" si="1"/>
        <v>6635</v>
      </c>
      <c r="AZ7" s="1193">
        <f t="shared" si="1"/>
        <v>16.440000000000001</v>
      </c>
      <c r="BA7" s="869">
        <f t="shared" si="1"/>
        <v>18657</v>
      </c>
      <c r="BB7" s="869">
        <f t="shared" si="1"/>
        <v>54390</v>
      </c>
      <c r="BC7" s="1193">
        <f t="shared" si="1"/>
        <v>85.710000000000008</v>
      </c>
      <c r="BD7" s="869">
        <f t="shared" si="1"/>
        <v>2626</v>
      </c>
      <c r="BE7" s="869">
        <f t="shared" si="1"/>
        <v>2600</v>
      </c>
      <c r="BF7" s="1193">
        <f t="shared" si="1"/>
        <v>7.94</v>
      </c>
      <c r="BG7" s="869">
        <f t="shared" si="1"/>
        <v>8622</v>
      </c>
      <c r="BH7" s="869">
        <f t="shared" si="1"/>
        <v>24683</v>
      </c>
      <c r="BI7" s="1193">
        <f t="shared" si="1"/>
        <v>57.629999999999995</v>
      </c>
      <c r="BJ7" s="869">
        <f t="shared" si="1"/>
        <v>45879</v>
      </c>
      <c r="BK7" s="869">
        <f t="shared" si="1"/>
        <v>46155</v>
      </c>
      <c r="BL7" s="1193">
        <f t="shared" si="1"/>
        <v>197.02</v>
      </c>
      <c r="BM7" s="869">
        <f t="shared" si="1"/>
        <v>148721</v>
      </c>
      <c r="BN7" s="869">
        <f t="shared" si="1"/>
        <v>2674257</v>
      </c>
      <c r="BO7" s="1193">
        <f t="shared" ref="BO7:DZ7" si="2">BO5+BO6</f>
        <v>2441.63</v>
      </c>
      <c r="BP7" s="869">
        <f t="shared" si="2"/>
        <v>21950</v>
      </c>
      <c r="BQ7" s="869">
        <f t="shared" si="2"/>
        <v>21494</v>
      </c>
      <c r="BR7" s="1193">
        <f t="shared" si="2"/>
        <v>102</v>
      </c>
      <c r="BS7" s="869">
        <f t="shared" si="2"/>
        <v>99923</v>
      </c>
      <c r="BT7" s="869">
        <f t="shared" si="2"/>
        <v>3037553</v>
      </c>
      <c r="BU7" s="1193">
        <f t="shared" si="2"/>
        <v>1505</v>
      </c>
      <c r="BV7" s="869">
        <f t="shared" si="2"/>
        <v>1421</v>
      </c>
      <c r="BW7" s="869">
        <f t="shared" si="2"/>
        <v>1203</v>
      </c>
      <c r="BX7" s="1193">
        <f t="shared" si="2"/>
        <v>16.82</v>
      </c>
      <c r="BY7" s="869">
        <f t="shared" si="2"/>
        <v>3589</v>
      </c>
      <c r="BZ7" s="869">
        <f t="shared" si="2"/>
        <v>4672</v>
      </c>
      <c r="CA7" s="1193">
        <f t="shared" si="2"/>
        <v>47.07</v>
      </c>
      <c r="CB7" s="869">
        <f t="shared" si="2"/>
        <v>0</v>
      </c>
      <c r="CC7" s="869">
        <f t="shared" si="2"/>
        <v>0</v>
      </c>
      <c r="CD7" s="1193">
        <f t="shared" si="2"/>
        <v>0</v>
      </c>
      <c r="CE7" s="869">
        <f t="shared" si="2"/>
        <v>0</v>
      </c>
      <c r="CF7" s="869">
        <f t="shared" si="2"/>
        <v>0</v>
      </c>
      <c r="CG7" s="1193">
        <f t="shared" si="2"/>
        <v>0</v>
      </c>
      <c r="CH7" s="869">
        <f t="shared" si="2"/>
        <v>8943</v>
      </c>
      <c r="CI7" s="869">
        <f t="shared" si="2"/>
        <v>9077</v>
      </c>
      <c r="CJ7" s="1193">
        <f t="shared" si="2"/>
        <v>17.2</v>
      </c>
      <c r="CK7" s="869">
        <f t="shared" si="2"/>
        <v>49544</v>
      </c>
      <c r="CL7" s="869">
        <f t="shared" si="2"/>
        <v>1694063</v>
      </c>
      <c r="CM7" s="1193">
        <f t="shared" si="2"/>
        <v>548.69000000000005</v>
      </c>
      <c r="CN7" s="869">
        <f t="shared" si="2"/>
        <v>33652</v>
      </c>
      <c r="CO7" s="869">
        <f t="shared" si="2"/>
        <v>32913</v>
      </c>
      <c r="CP7" s="1193">
        <f t="shared" si="2"/>
        <v>193.14</v>
      </c>
      <c r="CQ7" s="869">
        <f t="shared" si="2"/>
        <v>89705</v>
      </c>
      <c r="CR7" s="869">
        <f t="shared" si="2"/>
        <v>1150812</v>
      </c>
      <c r="CS7" s="1193">
        <f t="shared" si="2"/>
        <v>706.32</v>
      </c>
      <c r="CT7" s="869">
        <f t="shared" si="2"/>
        <v>12620</v>
      </c>
      <c r="CU7" s="869">
        <f t="shared" si="2"/>
        <v>21246</v>
      </c>
      <c r="CV7" s="1193">
        <f t="shared" si="2"/>
        <v>58</v>
      </c>
      <c r="CW7" s="869">
        <f t="shared" si="2"/>
        <v>30107</v>
      </c>
      <c r="CX7" s="869">
        <f t="shared" si="2"/>
        <v>193878</v>
      </c>
      <c r="CY7" s="1193">
        <f t="shared" si="2"/>
        <v>180.88</v>
      </c>
      <c r="CZ7" s="869">
        <f t="shared" si="2"/>
        <v>0</v>
      </c>
      <c r="DA7" s="869">
        <f t="shared" si="2"/>
        <v>0</v>
      </c>
      <c r="DB7" s="1193">
        <f t="shared" si="2"/>
        <v>0</v>
      </c>
      <c r="DC7" s="869">
        <f t="shared" si="2"/>
        <v>8</v>
      </c>
      <c r="DD7" s="869">
        <f t="shared" si="2"/>
        <v>38900</v>
      </c>
      <c r="DE7" s="1193">
        <f t="shared" si="2"/>
        <v>6.37</v>
      </c>
      <c r="DF7" s="1193">
        <f t="shared" si="2"/>
        <v>0</v>
      </c>
      <c r="DG7" s="1193">
        <f t="shared" si="2"/>
        <v>0</v>
      </c>
      <c r="DH7" s="1193">
        <f t="shared" si="2"/>
        <v>0</v>
      </c>
      <c r="DI7" s="1193">
        <f t="shared" si="2"/>
        <v>0</v>
      </c>
      <c r="DJ7" s="1193">
        <f t="shared" si="2"/>
        <v>0</v>
      </c>
      <c r="DK7" s="1193">
        <f t="shared" si="2"/>
        <v>0</v>
      </c>
      <c r="DL7" s="869">
        <f t="shared" si="2"/>
        <v>48628</v>
      </c>
      <c r="DM7" s="869">
        <f t="shared" si="2"/>
        <v>48628</v>
      </c>
      <c r="DN7" s="1193">
        <f t="shared" si="2"/>
        <v>249</v>
      </c>
      <c r="DO7" s="869">
        <f t="shared" si="2"/>
        <v>141079</v>
      </c>
      <c r="DP7" s="869">
        <f t="shared" si="2"/>
        <v>1443841</v>
      </c>
      <c r="DQ7" s="1193">
        <f t="shared" si="2"/>
        <v>2810</v>
      </c>
      <c r="DR7" s="869">
        <f t="shared" si="2"/>
        <v>14399</v>
      </c>
      <c r="DS7" s="869">
        <f t="shared" si="2"/>
        <v>25979</v>
      </c>
      <c r="DT7" s="1193">
        <f t="shared" si="2"/>
        <v>29.23</v>
      </c>
      <c r="DU7" s="869">
        <f t="shared" si="2"/>
        <v>17811</v>
      </c>
      <c r="DV7" s="869">
        <f t="shared" si="2"/>
        <v>125347</v>
      </c>
      <c r="DW7" s="1193">
        <f t="shared" si="2"/>
        <v>50.26</v>
      </c>
      <c r="DX7" s="869">
        <f t="shared" si="2"/>
        <v>3254</v>
      </c>
      <c r="DY7" s="869">
        <f t="shared" si="2"/>
        <v>3254</v>
      </c>
      <c r="DZ7" s="1193">
        <f t="shared" si="2"/>
        <v>23.33</v>
      </c>
      <c r="EA7" s="869">
        <f t="shared" ref="EA7:EU7" si="3">EA5+EA6</f>
        <v>5328</v>
      </c>
      <c r="EB7" s="869">
        <f t="shared" si="3"/>
        <v>841856</v>
      </c>
      <c r="EC7" s="1193">
        <f t="shared" si="3"/>
        <v>82.03</v>
      </c>
      <c r="ED7" s="869">
        <f t="shared" si="3"/>
        <v>19668</v>
      </c>
      <c r="EE7" s="869">
        <f t="shared" si="3"/>
        <v>19593</v>
      </c>
      <c r="EF7" s="1193">
        <f t="shared" si="3"/>
        <v>73.790000000000006</v>
      </c>
      <c r="EG7" s="869">
        <f t="shared" si="3"/>
        <v>75792</v>
      </c>
      <c r="EH7" s="869">
        <f t="shared" si="3"/>
        <v>246803</v>
      </c>
      <c r="EI7" s="1193">
        <f t="shared" si="3"/>
        <v>641.64</v>
      </c>
      <c r="EJ7" s="869">
        <f t="shared" si="3"/>
        <v>437320</v>
      </c>
      <c r="EK7" s="869">
        <f t="shared" si="3"/>
        <v>910468</v>
      </c>
      <c r="EL7" s="1193">
        <f t="shared" si="3"/>
        <v>3278.06</v>
      </c>
      <c r="EM7" s="869">
        <f t="shared" si="3"/>
        <v>1477720</v>
      </c>
      <c r="EN7" s="869">
        <f t="shared" si="3"/>
        <v>3356092</v>
      </c>
      <c r="EO7" s="1193">
        <f t="shared" si="3"/>
        <v>35864.75</v>
      </c>
      <c r="EP7" s="869">
        <f t="shared" si="3"/>
        <v>709670</v>
      </c>
      <c r="EQ7" s="869">
        <f t="shared" si="3"/>
        <v>2237605</v>
      </c>
      <c r="ER7" s="1193">
        <f t="shared" si="3"/>
        <v>4453.1464261000001</v>
      </c>
      <c r="ES7" s="869">
        <f t="shared" si="3"/>
        <v>2334204</v>
      </c>
      <c r="ET7" s="869">
        <f t="shared" si="3"/>
        <v>21263501</v>
      </c>
      <c r="EU7" s="1194">
        <f t="shared" si="3"/>
        <v>47247.92</v>
      </c>
    </row>
  </sheetData>
  <mergeCells count="75">
    <mergeCell ref="EM3:EO3"/>
    <mergeCell ref="EP2:EU2"/>
    <mergeCell ref="EP3:ER3"/>
    <mergeCell ref="ES3:EU3"/>
    <mergeCell ref="DO3:DQ3"/>
    <mergeCell ref="DR3:DT3"/>
    <mergeCell ref="DU3:DW3"/>
    <mergeCell ref="DX3:DZ3"/>
    <mergeCell ref="EA3:EC3"/>
    <mergeCell ref="ED3:EF3"/>
    <mergeCell ref="CW3:CY3"/>
    <mergeCell ref="CZ3:DB3"/>
    <mergeCell ref="DC3:DE3"/>
    <mergeCell ref="DF3:DH3"/>
    <mergeCell ref="DI3:DK3"/>
    <mergeCell ref="DL3:DN3"/>
    <mergeCell ref="CE3:CG3"/>
    <mergeCell ref="CH3:CJ3"/>
    <mergeCell ref="CK3:CM3"/>
    <mergeCell ref="CN3:CP3"/>
    <mergeCell ref="CQ3:CS3"/>
    <mergeCell ref="CT3:CV3"/>
    <mergeCell ref="BM3:BO3"/>
    <mergeCell ref="BP3:BR3"/>
    <mergeCell ref="BS3:BU3"/>
    <mergeCell ref="BV3:BX3"/>
    <mergeCell ref="BY3:CA3"/>
    <mergeCell ref="CB3:CD3"/>
    <mergeCell ref="AO3:AQ3"/>
    <mergeCell ref="AR3:AT3"/>
    <mergeCell ref="EG3:EI3"/>
    <mergeCell ref="EJ3:EL3"/>
    <mergeCell ref="AU3:AW3"/>
    <mergeCell ref="AX3:AZ3"/>
    <mergeCell ref="BA3:BC3"/>
    <mergeCell ref="BD3:BF3"/>
    <mergeCell ref="BG3:BI3"/>
    <mergeCell ref="BJ3:BL3"/>
    <mergeCell ref="T3:V3"/>
    <mergeCell ref="W3:Y3"/>
    <mergeCell ref="Z3:AB3"/>
    <mergeCell ref="AC3:AE3"/>
    <mergeCell ref="AI3:AK3"/>
    <mergeCell ref="AL3:AN3"/>
    <mergeCell ref="DX2:EC2"/>
    <mergeCell ref="ED2:EI2"/>
    <mergeCell ref="EJ2:EO2"/>
    <mergeCell ref="B3:D3"/>
    <mergeCell ref="E3:G3"/>
    <mergeCell ref="H3:J3"/>
    <mergeCell ref="K3:M3"/>
    <mergeCell ref="AF3:AH3"/>
    <mergeCell ref="N3:P3"/>
    <mergeCell ref="Q3:S3"/>
    <mergeCell ref="CN2:CS2"/>
    <mergeCell ref="CT2:CY2"/>
    <mergeCell ref="CZ2:DE2"/>
    <mergeCell ref="DF2:DK2"/>
    <mergeCell ref="DL2:DQ2"/>
    <mergeCell ref="DR2:DW2"/>
    <mergeCell ref="BD2:BI2"/>
    <mergeCell ref="BP2:BU2"/>
    <mergeCell ref="BV2:CA2"/>
    <mergeCell ref="CB2:CG2"/>
    <mergeCell ref="CH2:CM2"/>
    <mergeCell ref="BJ2:BO2"/>
    <mergeCell ref="AL2:AQ2"/>
    <mergeCell ref="AR2:AW2"/>
    <mergeCell ref="AX2:BC2"/>
    <mergeCell ref="B2:G2"/>
    <mergeCell ref="H2:M2"/>
    <mergeCell ref="N2:S2"/>
    <mergeCell ref="T2:Y2"/>
    <mergeCell ref="Z2:AE2"/>
    <mergeCell ref="AF2:AK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16"/>
  <sheetViews>
    <sheetView workbookViewId="0">
      <pane xSplit="1" topLeftCell="J1" activePane="topRight" state="frozen"/>
      <selection pane="topRight" activeCell="K16" sqref="K16"/>
    </sheetView>
    <sheetView topLeftCell="A3" workbookViewId="1">
      <pane xSplit="1" topLeftCell="B1" activePane="topRight" state="frozen"/>
      <selection pane="topRight" activeCell="H17" sqref="H17"/>
    </sheetView>
  </sheetViews>
  <sheetFormatPr defaultRowHeight="14.25"/>
  <cols>
    <col min="1" max="1" width="33.140625" style="13" bestFit="1" customWidth="1"/>
    <col min="2" max="2" width="8.5703125" style="13" customWidth="1"/>
    <col min="3" max="3" width="9.5703125" style="13" bestFit="1" customWidth="1"/>
    <col min="4" max="5" width="8.5703125" style="13" bestFit="1" customWidth="1"/>
    <col min="6" max="6" width="7" style="13" bestFit="1" customWidth="1"/>
    <col min="7" max="7" width="7.5703125" style="13" bestFit="1" customWidth="1"/>
    <col min="8" max="9" width="10" style="13" bestFit="1" customWidth="1"/>
    <col min="10" max="14" width="8.5703125" style="13" bestFit="1" customWidth="1"/>
    <col min="15" max="15" width="9" style="13" bestFit="1" customWidth="1"/>
    <col min="16" max="17" width="10" style="13" bestFit="1" customWidth="1"/>
    <col min="18" max="21" width="8.5703125" style="13" bestFit="1" customWidth="1"/>
    <col min="22" max="22" width="10" style="13" bestFit="1" customWidth="1"/>
    <col min="23" max="23" width="10" style="13" customWidth="1"/>
    <col min="24" max="24" width="9" style="13" bestFit="1" customWidth="1"/>
    <col min="25" max="25" width="11" style="13" bestFit="1" customWidth="1"/>
    <col min="26" max="30" width="8.5703125" style="13" bestFit="1" customWidth="1"/>
    <col min="31" max="32" width="10" style="13" bestFit="1" customWidth="1"/>
    <col min="33" max="33" width="10" style="13" customWidth="1"/>
    <col min="34" max="40" width="8.5703125" style="13" bestFit="1" customWidth="1"/>
    <col min="41" max="41" width="10.7109375" style="13" bestFit="1" customWidth="1"/>
    <col min="42" max="42" width="8.5703125" style="13" bestFit="1" customWidth="1"/>
    <col min="43" max="43" width="8.7109375" style="13" bestFit="1" customWidth="1"/>
    <col min="44" max="47" width="8.5703125" style="13" bestFit="1" customWidth="1"/>
    <col min="48" max="48" width="10" style="13" bestFit="1" customWidth="1"/>
    <col min="49" max="49" width="11" style="13" customWidth="1"/>
    <col min="50" max="52" width="10" style="13" bestFit="1" customWidth="1"/>
    <col min="53" max="53" width="11" style="13" bestFit="1" customWidth="1"/>
    <col min="54" max="16384" width="9.140625" style="13"/>
  </cols>
  <sheetData>
    <row r="1" spans="1:53">
      <c r="A1" s="1299" t="s">
        <v>111</v>
      </c>
      <c r="B1" s="1299"/>
      <c r="C1" s="1299"/>
      <c r="D1" s="1299"/>
      <c r="E1" s="1299"/>
      <c r="F1" s="1299"/>
      <c r="G1" s="1299"/>
      <c r="H1" s="1299"/>
      <c r="I1" s="1299"/>
      <c r="J1" s="1299"/>
      <c r="K1" s="1299"/>
      <c r="L1" s="1299"/>
      <c r="M1" s="1299"/>
      <c r="N1" s="1299"/>
      <c r="O1" s="1299"/>
      <c r="P1" s="1299"/>
      <c r="Q1" s="1299"/>
      <c r="R1" s="1299"/>
      <c r="S1" s="1299"/>
      <c r="T1" s="1299"/>
      <c r="U1" s="1299"/>
      <c r="V1" s="1299"/>
      <c r="W1" s="1299"/>
      <c r="X1" s="1299"/>
      <c r="Y1" s="1299"/>
      <c r="Z1" s="1299"/>
      <c r="AA1" s="1299"/>
      <c r="AB1" s="1299"/>
      <c r="AC1" s="1299"/>
      <c r="AD1" s="1299"/>
      <c r="AE1" s="1299"/>
      <c r="AF1" s="1299"/>
      <c r="AG1" s="1299"/>
      <c r="AH1" s="1299"/>
      <c r="AI1" s="1299"/>
      <c r="AJ1" s="1299"/>
      <c r="AK1" s="1299"/>
      <c r="AL1" s="1299"/>
      <c r="AM1" s="1299"/>
      <c r="AN1" s="1299"/>
      <c r="AO1" s="1299"/>
      <c r="AP1" s="1299"/>
      <c r="AQ1" s="1299"/>
      <c r="AR1" s="1299"/>
      <c r="AS1" s="1299"/>
      <c r="AT1" s="1299"/>
      <c r="AU1" s="1299"/>
      <c r="AV1" s="1299"/>
      <c r="AW1" s="1299"/>
      <c r="AX1" s="1299"/>
      <c r="AY1" s="1299"/>
      <c r="AZ1" s="1299"/>
      <c r="BA1" s="788"/>
    </row>
    <row r="2" spans="1:53" ht="16.5" thickBot="1">
      <c r="A2" s="1300" t="s">
        <v>367</v>
      </c>
      <c r="B2" s="1300"/>
      <c r="C2" s="1300"/>
      <c r="D2" s="1300"/>
      <c r="E2" s="1300"/>
      <c r="F2" s="1300"/>
      <c r="G2" s="1300"/>
      <c r="H2" s="1300"/>
      <c r="I2" s="1300"/>
      <c r="J2" s="1300"/>
      <c r="K2" s="1300"/>
      <c r="L2" s="1300"/>
      <c r="M2" s="1300"/>
      <c r="N2" s="1300"/>
      <c r="O2" s="1300"/>
      <c r="P2" s="1300"/>
      <c r="Q2" s="1300"/>
      <c r="R2" s="1300"/>
      <c r="S2" s="1300"/>
      <c r="T2" s="1300"/>
      <c r="U2" s="1300"/>
      <c r="V2" s="1300"/>
      <c r="W2" s="1300"/>
      <c r="X2" s="1300"/>
      <c r="Y2" s="1300"/>
      <c r="Z2" s="1300"/>
      <c r="AA2" s="1300"/>
      <c r="AB2" s="1300"/>
      <c r="AC2" s="1300"/>
      <c r="AD2" s="1300"/>
      <c r="AE2" s="1300"/>
      <c r="AF2" s="1300"/>
      <c r="AG2" s="1300"/>
      <c r="AH2" s="1300"/>
      <c r="AI2" s="1300"/>
      <c r="AJ2" s="1300"/>
      <c r="AK2" s="1300"/>
      <c r="AL2" s="1300"/>
      <c r="AM2" s="1300"/>
      <c r="AN2" s="1300"/>
      <c r="AO2" s="1300"/>
      <c r="AP2" s="1300"/>
      <c r="AQ2" s="1300"/>
      <c r="AR2" s="1300"/>
      <c r="AS2" s="1300"/>
      <c r="AT2" s="1300"/>
      <c r="AU2" s="1300"/>
      <c r="AV2" s="1300"/>
      <c r="AW2" s="1300"/>
      <c r="AX2" s="1300"/>
      <c r="AY2" s="1300"/>
      <c r="AZ2" s="1300"/>
      <c r="BA2" s="789"/>
    </row>
    <row r="3" spans="1:53" ht="53.25" customHeight="1" thickBot="1">
      <c r="A3" s="790" t="s">
        <v>112</v>
      </c>
      <c r="B3" s="1218" t="s">
        <v>164</v>
      </c>
      <c r="C3" s="1219"/>
      <c r="D3" s="1208" t="s">
        <v>310</v>
      </c>
      <c r="E3" s="1212"/>
      <c r="F3" s="1208" t="s">
        <v>166</v>
      </c>
      <c r="G3" s="1212"/>
      <c r="H3" s="1208" t="s">
        <v>167</v>
      </c>
      <c r="I3" s="1212"/>
      <c r="J3" s="1208" t="s">
        <v>304</v>
      </c>
      <c r="K3" s="1212"/>
      <c r="L3" s="1208" t="s">
        <v>169</v>
      </c>
      <c r="M3" s="1212"/>
      <c r="N3" s="1208" t="s">
        <v>371</v>
      </c>
      <c r="O3" s="1212"/>
      <c r="P3" s="1208" t="s">
        <v>192</v>
      </c>
      <c r="Q3" s="1212"/>
      <c r="R3" s="1208" t="s">
        <v>387</v>
      </c>
      <c r="S3" s="1212"/>
      <c r="T3" s="1208" t="s">
        <v>386</v>
      </c>
      <c r="U3" s="1212"/>
      <c r="V3" s="1208" t="s">
        <v>385</v>
      </c>
      <c r="W3" s="1212"/>
      <c r="X3" s="1208" t="s">
        <v>306</v>
      </c>
      <c r="Y3" s="1212"/>
      <c r="Z3" s="1208" t="s">
        <v>195</v>
      </c>
      <c r="AA3" s="1212"/>
      <c r="AB3" s="1208" t="s">
        <v>177</v>
      </c>
      <c r="AC3" s="1212"/>
      <c r="AD3" s="1210" t="s">
        <v>178</v>
      </c>
      <c r="AE3" s="1211"/>
      <c r="AF3" s="1208" t="s">
        <v>179</v>
      </c>
      <c r="AG3" s="1212"/>
      <c r="AH3" s="1208" t="s">
        <v>294</v>
      </c>
      <c r="AI3" s="1212"/>
      <c r="AJ3" s="1208" t="s">
        <v>181</v>
      </c>
      <c r="AK3" s="1212"/>
      <c r="AL3" s="1210" t="s">
        <v>182</v>
      </c>
      <c r="AM3" s="1211"/>
      <c r="AN3" s="1208" t="s">
        <v>183</v>
      </c>
      <c r="AO3" s="1212"/>
      <c r="AP3" s="1208" t="s">
        <v>184</v>
      </c>
      <c r="AQ3" s="1212"/>
      <c r="AR3" s="1208" t="s">
        <v>305</v>
      </c>
      <c r="AS3" s="1212"/>
      <c r="AT3" s="1208" t="s">
        <v>186</v>
      </c>
      <c r="AU3" s="1212"/>
      <c r="AV3" s="1250" t="s">
        <v>1</v>
      </c>
      <c r="AW3" s="1251"/>
      <c r="AX3" s="1210" t="s">
        <v>187</v>
      </c>
      <c r="AY3" s="1211"/>
      <c r="AZ3" s="1253" t="s">
        <v>2</v>
      </c>
      <c r="BA3" s="1254"/>
    </row>
    <row r="4" spans="1:53" s="556" customFormat="1" ht="68.25" thickBot="1">
      <c r="A4" s="554"/>
      <c r="B4" s="555" t="s">
        <v>298</v>
      </c>
      <c r="C4" s="555" t="s">
        <v>368</v>
      </c>
      <c r="D4" s="555" t="s">
        <v>298</v>
      </c>
      <c r="E4" s="555" t="s">
        <v>368</v>
      </c>
      <c r="F4" s="555" t="s">
        <v>298</v>
      </c>
      <c r="G4" s="555" t="s">
        <v>368</v>
      </c>
      <c r="H4" s="555" t="s">
        <v>298</v>
      </c>
      <c r="I4" s="555" t="s">
        <v>368</v>
      </c>
      <c r="J4" s="555" t="s">
        <v>298</v>
      </c>
      <c r="K4" s="555" t="s">
        <v>368</v>
      </c>
      <c r="L4" s="555" t="s">
        <v>298</v>
      </c>
      <c r="M4" s="555" t="s">
        <v>368</v>
      </c>
      <c r="N4" s="555" t="s">
        <v>298</v>
      </c>
      <c r="O4" s="555" t="s">
        <v>368</v>
      </c>
      <c r="P4" s="555" t="s">
        <v>298</v>
      </c>
      <c r="Q4" s="555" t="s">
        <v>368</v>
      </c>
      <c r="R4" s="555" t="s">
        <v>298</v>
      </c>
      <c r="S4" s="555" t="s">
        <v>368</v>
      </c>
      <c r="T4" s="555" t="s">
        <v>298</v>
      </c>
      <c r="U4" s="555" t="s">
        <v>368</v>
      </c>
      <c r="V4" s="555" t="s">
        <v>298</v>
      </c>
      <c r="W4" s="555" t="s">
        <v>368</v>
      </c>
      <c r="X4" s="555" t="s">
        <v>298</v>
      </c>
      <c r="Y4" s="555" t="s">
        <v>368</v>
      </c>
      <c r="Z4" s="555" t="s">
        <v>298</v>
      </c>
      <c r="AA4" s="555" t="s">
        <v>368</v>
      </c>
      <c r="AB4" s="555" t="s">
        <v>298</v>
      </c>
      <c r="AC4" s="555" t="s">
        <v>368</v>
      </c>
      <c r="AD4" s="555" t="s">
        <v>298</v>
      </c>
      <c r="AE4" s="555" t="s">
        <v>368</v>
      </c>
      <c r="AF4" s="555" t="s">
        <v>298</v>
      </c>
      <c r="AG4" s="555" t="s">
        <v>368</v>
      </c>
      <c r="AH4" s="555" t="s">
        <v>298</v>
      </c>
      <c r="AI4" s="555" t="s">
        <v>368</v>
      </c>
      <c r="AJ4" s="555" t="s">
        <v>298</v>
      </c>
      <c r="AK4" s="555" t="s">
        <v>368</v>
      </c>
      <c r="AL4" s="555" t="s">
        <v>298</v>
      </c>
      <c r="AM4" s="555" t="s">
        <v>368</v>
      </c>
      <c r="AN4" s="555" t="s">
        <v>298</v>
      </c>
      <c r="AO4" s="555" t="s">
        <v>368</v>
      </c>
      <c r="AP4" s="555" t="s">
        <v>298</v>
      </c>
      <c r="AQ4" s="555" t="s">
        <v>368</v>
      </c>
      <c r="AR4" s="555" t="s">
        <v>298</v>
      </c>
      <c r="AS4" s="555" t="s">
        <v>368</v>
      </c>
      <c r="AT4" s="555" t="s">
        <v>298</v>
      </c>
      <c r="AU4" s="555" t="s">
        <v>368</v>
      </c>
      <c r="AV4" s="555" t="s">
        <v>298</v>
      </c>
      <c r="AW4" s="555" t="s">
        <v>368</v>
      </c>
      <c r="AX4" s="555" t="s">
        <v>298</v>
      </c>
      <c r="AY4" s="555" t="s">
        <v>368</v>
      </c>
      <c r="AZ4" s="555" t="s">
        <v>298</v>
      </c>
      <c r="BA4" s="905" t="s">
        <v>368</v>
      </c>
    </row>
    <row r="5" spans="1:53" s="39" customFormat="1" ht="15" thickBot="1">
      <c r="A5" s="204" t="s">
        <v>113</v>
      </c>
      <c r="B5" s="330">
        <v>3941188</v>
      </c>
      <c r="C5" s="330">
        <v>4281630</v>
      </c>
      <c r="D5" s="323">
        <v>240964</v>
      </c>
      <c r="E5" s="323">
        <v>266530</v>
      </c>
      <c r="F5" s="323">
        <v>925165</v>
      </c>
      <c r="G5" s="323">
        <v>945021</v>
      </c>
      <c r="H5" s="323">
        <v>4784000</v>
      </c>
      <c r="I5" s="323">
        <v>5074326</v>
      </c>
      <c r="J5" s="323">
        <v>607013.96</v>
      </c>
      <c r="K5" s="323">
        <v>754244</v>
      </c>
      <c r="L5" s="323">
        <v>1481998</v>
      </c>
      <c r="M5" s="323">
        <v>1608979</v>
      </c>
      <c r="N5" s="323">
        <v>379336.66</v>
      </c>
      <c r="O5" s="323">
        <v>43779187</v>
      </c>
      <c r="P5" s="323">
        <v>228889.27</v>
      </c>
      <c r="Q5" s="323">
        <v>30039284</v>
      </c>
      <c r="R5" s="323">
        <v>1369118</v>
      </c>
      <c r="S5" s="323">
        <v>1535986</v>
      </c>
      <c r="T5" s="323">
        <v>379523</v>
      </c>
      <c r="U5" s="323">
        <v>441558</v>
      </c>
      <c r="V5" s="323">
        <v>12123092</v>
      </c>
      <c r="W5" s="323">
        <v>13038048</v>
      </c>
      <c r="X5" s="323">
        <v>15499346.970000001</v>
      </c>
      <c r="Y5" s="323">
        <v>1638075344</v>
      </c>
      <c r="Z5" s="327">
        <v>856587</v>
      </c>
      <c r="AA5" s="327">
        <v>958110</v>
      </c>
      <c r="AB5" s="323">
        <v>1439402</v>
      </c>
      <c r="AC5" s="323">
        <v>1500781</v>
      </c>
      <c r="AD5" s="323">
        <v>2952514</v>
      </c>
      <c r="AE5" s="323">
        <v>3483644</v>
      </c>
      <c r="AF5" s="323"/>
      <c r="AG5" s="323">
        <v>7138784</v>
      </c>
      <c r="AH5" s="323">
        <v>1984250</v>
      </c>
      <c r="AI5" s="323">
        <v>2246999</v>
      </c>
      <c r="AJ5" s="323">
        <v>1934113</v>
      </c>
      <c r="AK5" s="323">
        <v>2114374</v>
      </c>
      <c r="AL5" s="320"/>
      <c r="AM5" s="791"/>
      <c r="AN5" s="319">
        <v>13978817.119999999</v>
      </c>
      <c r="AO5" s="319">
        <v>1672510700</v>
      </c>
      <c r="AP5" s="315">
        <v>379980.46</v>
      </c>
      <c r="AQ5" s="315">
        <v>47512482</v>
      </c>
      <c r="AR5" s="313">
        <v>838012</v>
      </c>
      <c r="AS5" s="313">
        <v>964371</v>
      </c>
      <c r="AT5" s="305">
        <v>2725952</v>
      </c>
      <c r="AU5" s="688">
        <v>3252947</v>
      </c>
      <c r="AV5" s="52">
        <f>SUM(B5+D5+F5+H5+J5+L5+N5+P5+R5+T5+V5+X5+Z5+AB5+AD5+AF5+AH5+AJ5+AL5+AN5+AP5+AR5+AT5)</f>
        <v>69049262.439999998</v>
      </c>
      <c r="AW5" s="52">
        <f>SUM(C5+E5+G5+I5+K5+M5+O5+Q5+S5+U5+W5+Y5+AA5+AC5+AE5+AG5+AI5+AK5+AM5+AO5+AQ5+AS5+AU5)</f>
        <v>3481523329</v>
      </c>
      <c r="AX5" s="311">
        <v>293416729</v>
      </c>
      <c r="AY5" s="793">
        <v>321082788</v>
      </c>
      <c r="AZ5" s="799">
        <f t="shared" ref="AZ5:BA15" si="0">AV5+AX5</f>
        <v>362465991.44</v>
      </c>
      <c r="BA5" s="804">
        <f t="shared" si="0"/>
        <v>3802606117</v>
      </c>
    </row>
    <row r="6" spans="1:53" s="39" customFormat="1" ht="15" thickBot="1">
      <c r="A6" s="204" t="s">
        <v>114</v>
      </c>
      <c r="B6" s="331"/>
      <c r="C6" s="331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28"/>
      <c r="AA6" s="328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21"/>
      <c r="AM6" s="321"/>
      <c r="AN6" s="317"/>
      <c r="AO6" s="317"/>
      <c r="AP6" s="316"/>
      <c r="AQ6" s="316"/>
      <c r="AR6" s="271"/>
      <c r="AS6" s="271"/>
      <c r="AT6" s="306"/>
      <c r="AU6" s="289"/>
      <c r="AV6" s="309">
        <f t="shared" ref="AV6:AV11" si="1">SUM(B6+D6+F6+H6+J6+L6+N6+P6+R6+T6+V6+X6+Z6+AB6+AD6+AF6+AH6+AJ6+AL6+AN6+AP6+AR6+AT6)</f>
        <v>0</v>
      </c>
      <c r="AW6" s="52">
        <f t="shared" ref="AW6:AW15" si="2">SUM(C6+E6+G6+I6+K6+M6+O6+Q6+S6+U6+W6+Y6+AA6+AC6+AE6+AG6+AI6+AK6+AM6+AO6+AQ6+AS6+AU6)</f>
        <v>0</v>
      </c>
      <c r="AX6" s="301"/>
      <c r="AY6" s="794"/>
      <c r="AZ6" s="33">
        <f t="shared" si="0"/>
        <v>0</v>
      </c>
      <c r="BA6" s="804">
        <f t="shared" si="0"/>
        <v>0</v>
      </c>
    </row>
    <row r="7" spans="1:53" s="39" customFormat="1" ht="15" thickBot="1">
      <c r="A7" s="204" t="s">
        <v>115</v>
      </c>
      <c r="B7" s="332">
        <v>3947183</v>
      </c>
      <c r="C7" s="332">
        <v>4304990</v>
      </c>
      <c r="D7" s="324">
        <v>222142</v>
      </c>
      <c r="E7" s="324">
        <v>244253</v>
      </c>
      <c r="F7" s="324">
        <v>880768</v>
      </c>
      <c r="G7" s="324">
        <v>898663</v>
      </c>
      <c r="H7" s="324">
        <v>4694777</v>
      </c>
      <c r="I7" s="324">
        <v>4974292</v>
      </c>
      <c r="J7" s="324">
        <v>574633.71</v>
      </c>
      <c r="K7" s="324">
        <v>714385</v>
      </c>
      <c r="L7" s="324">
        <v>1439239</v>
      </c>
      <c r="M7" s="324">
        <v>1558669</v>
      </c>
      <c r="N7" s="324">
        <v>372356.3</v>
      </c>
      <c r="O7" s="324">
        <v>42822751</v>
      </c>
      <c r="P7" s="324">
        <v>226158.43</v>
      </c>
      <c r="Q7" s="324">
        <v>29687879</v>
      </c>
      <c r="R7" s="324">
        <v>1354361</v>
      </c>
      <c r="S7" s="324">
        <v>1505432</v>
      </c>
      <c r="T7" s="324">
        <v>368996</v>
      </c>
      <c r="U7" s="324">
        <v>420019</v>
      </c>
      <c r="V7" s="324">
        <v>-12013178</v>
      </c>
      <c r="W7" s="324">
        <v>12994718</v>
      </c>
      <c r="X7" s="324">
        <v>15272891.619999999</v>
      </c>
      <c r="Y7" s="324">
        <v>1593833459</v>
      </c>
      <c r="Z7" s="328">
        <v>850798</v>
      </c>
      <c r="AA7" s="328">
        <v>946127</v>
      </c>
      <c r="AB7" s="324">
        <v>1396935</v>
      </c>
      <c r="AC7" s="324">
        <v>1466033</v>
      </c>
      <c r="AD7" s="326">
        <v>2816104</v>
      </c>
      <c r="AE7" s="326">
        <v>3302474</v>
      </c>
      <c r="AF7" s="324"/>
      <c r="AG7" s="324">
        <v>6882723</v>
      </c>
      <c r="AH7" s="324">
        <v>1953888</v>
      </c>
      <c r="AI7" s="324">
        <v>2196913</v>
      </c>
      <c r="AJ7" s="324">
        <v>1901693</v>
      </c>
      <c r="AK7" s="324">
        <v>2006637</v>
      </c>
      <c r="AL7" s="321"/>
      <c r="AM7" s="791"/>
      <c r="AN7" s="319">
        <v>13953318.1</v>
      </c>
      <c r="AO7" s="319">
        <v>1663803800</v>
      </c>
      <c r="AP7" s="316">
        <v>379893.88</v>
      </c>
      <c r="AQ7" s="316">
        <v>47122079</v>
      </c>
      <c r="AR7" s="271">
        <v>799647</v>
      </c>
      <c r="AS7" s="271">
        <v>915010</v>
      </c>
      <c r="AT7" s="307">
        <v>2721148</v>
      </c>
      <c r="AU7" s="309">
        <v>3193925</v>
      </c>
      <c r="AV7" s="309">
        <f t="shared" si="1"/>
        <v>44113753.040000007</v>
      </c>
      <c r="AW7" s="52">
        <f t="shared" si="2"/>
        <v>3425795231</v>
      </c>
      <c r="AX7" s="309">
        <v>278850653</v>
      </c>
      <c r="AY7" s="795">
        <v>305302205</v>
      </c>
      <c r="AZ7" s="33">
        <f t="shared" si="0"/>
        <v>322964406.04000002</v>
      </c>
      <c r="BA7" s="804">
        <f t="shared" si="0"/>
        <v>3731097436</v>
      </c>
    </row>
    <row r="8" spans="1:53" s="39" customFormat="1" ht="15" thickBot="1">
      <c r="A8" s="204" t="s">
        <v>116</v>
      </c>
      <c r="B8" s="331"/>
      <c r="C8" s="331"/>
      <c r="D8" s="317"/>
      <c r="E8" s="317"/>
      <c r="F8" s="317">
        <v>39218</v>
      </c>
      <c r="G8" s="317">
        <v>40807</v>
      </c>
      <c r="H8" s="317"/>
      <c r="I8" s="317"/>
      <c r="J8" s="317">
        <v>14931.14</v>
      </c>
      <c r="K8" s="317">
        <v>18527</v>
      </c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>
        <v>118349.68</v>
      </c>
      <c r="Y8" s="317">
        <v>32329032</v>
      </c>
      <c r="Z8" s="317"/>
      <c r="AA8" s="317"/>
      <c r="AB8" s="317">
        <v>33662</v>
      </c>
      <c r="AC8" s="317">
        <v>26251</v>
      </c>
      <c r="AD8" s="317">
        <v>99368</v>
      </c>
      <c r="AE8" s="317">
        <v>143403</v>
      </c>
      <c r="AF8" s="317"/>
      <c r="AG8" s="317"/>
      <c r="AH8" s="317">
        <v>472</v>
      </c>
      <c r="AI8" s="317"/>
      <c r="AJ8" s="317">
        <v>32420</v>
      </c>
      <c r="AK8" s="317"/>
      <c r="AL8" s="321"/>
      <c r="AM8" s="321"/>
      <c r="AN8" s="263"/>
      <c r="AO8" s="263"/>
      <c r="AP8" s="316"/>
      <c r="AQ8" s="316"/>
      <c r="AR8" s="271">
        <v>17555</v>
      </c>
      <c r="AS8" s="271">
        <v>24541</v>
      </c>
      <c r="AT8" s="306"/>
      <c r="AU8" s="289"/>
      <c r="AV8" s="309">
        <f t="shared" si="1"/>
        <v>355975.82</v>
      </c>
      <c r="AW8" s="52">
        <f t="shared" si="2"/>
        <v>32582561</v>
      </c>
      <c r="AX8" s="301">
        <v>14975</v>
      </c>
      <c r="AY8" s="794">
        <v>11958</v>
      </c>
      <c r="AZ8" s="33">
        <f t="shared" si="0"/>
        <v>370950.82</v>
      </c>
      <c r="BA8" s="804">
        <f t="shared" si="0"/>
        <v>32594519</v>
      </c>
    </row>
    <row r="9" spans="1:53" s="39" customFormat="1" ht="15" thickBot="1">
      <c r="A9" s="304" t="s">
        <v>193</v>
      </c>
      <c r="B9" s="331">
        <v>-5995</v>
      </c>
      <c r="C9" s="331">
        <v>-23360</v>
      </c>
      <c r="D9" s="317">
        <v>18822</v>
      </c>
      <c r="E9" s="317">
        <v>22277</v>
      </c>
      <c r="F9" s="317">
        <v>5178</v>
      </c>
      <c r="G9" s="317">
        <v>5550</v>
      </c>
      <c r="H9" s="317">
        <v>89223</v>
      </c>
      <c r="I9" s="317">
        <v>100035</v>
      </c>
      <c r="J9" s="317">
        <v>17449.099999999999</v>
      </c>
      <c r="K9" s="317">
        <v>21331</v>
      </c>
      <c r="L9" s="317">
        <v>42759</v>
      </c>
      <c r="M9" s="317">
        <v>50310</v>
      </c>
      <c r="N9" s="317">
        <v>6980.36</v>
      </c>
      <c r="O9" s="317">
        <v>956436</v>
      </c>
      <c r="P9" s="317">
        <v>2730.83</v>
      </c>
      <c r="Q9" s="317">
        <v>351405</v>
      </c>
      <c r="R9" s="317">
        <v>14757</v>
      </c>
      <c r="S9" s="317">
        <v>30554</v>
      </c>
      <c r="T9" s="317">
        <v>10527</v>
      </c>
      <c r="U9" s="317">
        <v>21539</v>
      </c>
      <c r="V9" s="317">
        <v>109913</v>
      </c>
      <c r="W9" s="317">
        <v>43330</v>
      </c>
      <c r="X9" s="317">
        <v>108105.67</v>
      </c>
      <c r="Y9" s="317">
        <v>11912853</v>
      </c>
      <c r="Z9" s="317">
        <v>5790</v>
      </c>
      <c r="AA9" s="317">
        <v>11982</v>
      </c>
      <c r="AB9" s="317">
        <v>8805</v>
      </c>
      <c r="AC9" s="317">
        <v>8496</v>
      </c>
      <c r="AD9" s="317">
        <v>37042</v>
      </c>
      <c r="AE9" s="317">
        <v>37768</v>
      </c>
      <c r="AF9" s="317"/>
      <c r="AG9" s="317">
        <v>256061</v>
      </c>
      <c r="AH9" s="317">
        <v>29890</v>
      </c>
      <c r="AI9" s="317">
        <v>50086</v>
      </c>
      <c r="AJ9" s="317">
        <v>125547</v>
      </c>
      <c r="AK9" s="317">
        <v>7738</v>
      </c>
      <c r="AL9" s="321"/>
      <c r="AM9" s="791"/>
      <c r="AN9" s="319">
        <v>25499.02</v>
      </c>
      <c r="AO9" s="319">
        <v>8706900</v>
      </c>
      <c r="AP9" s="316">
        <v>86.58</v>
      </c>
      <c r="AQ9" s="316">
        <v>390402</v>
      </c>
      <c r="AR9" s="271">
        <v>20810</v>
      </c>
      <c r="AS9" s="271">
        <v>24820</v>
      </c>
      <c r="AT9" s="306">
        <v>4804</v>
      </c>
      <c r="AU9" s="289">
        <v>59023</v>
      </c>
      <c r="AV9" s="309">
        <f t="shared" si="1"/>
        <v>678723.55999999994</v>
      </c>
      <c r="AW9" s="52">
        <f t="shared" si="2"/>
        <v>23045536</v>
      </c>
      <c r="AX9" s="301">
        <v>14551101</v>
      </c>
      <c r="AY9" s="794">
        <v>15768625</v>
      </c>
      <c r="AZ9" s="33">
        <f t="shared" si="0"/>
        <v>15229824.560000001</v>
      </c>
      <c r="BA9" s="804">
        <f t="shared" si="0"/>
        <v>38814161</v>
      </c>
    </row>
    <row r="10" spans="1:53" s="39" customFormat="1" ht="15" thickBot="1">
      <c r="A10" s="204" t="s">
        <v>117</v>
      </c>
      <c r="B10" s="331">
        <v>213569</v>
      </c>
      <c r="C10" s="331">
        <v>244560</v>
      </c>
      <c r="D10" s="317">
        <v>18264</v>
      </c>
      <c r="E10" s="317">
        <v>13859</v>
      </c>
      <c r="F10" s="317">
        <v>71798</v>
      </c>
      <c r="G10" s="317">
        <v>62765</v>
      </c>
      <c r="H10" s="317">
        <v>957069</v>
      </c>
      <c r="I10" s="317">
        <v>996749</v>
      </c>
      <c r="J10" s="317">
        <v>41962.94</v>
      </c>
      <c r="K10" s="317">
        <v>47773</v>
      </c>
      <c r="L10" s="317">
        <v>87964</v>
      </c>
      <c r="M10" s="317">
        <v>90935</v>
      </c>
      <c r="N10" s="317">
        <v>60978.68</v>
      </c>
      <c r="O10" s="317">
        <v>6628562</v>
      </c>
      <c r="P10" s="317">
        <v>19565.759999999998</v>
      </c>
      <c r="Q10" s="317">
        <v>2886096</v>
      </c>
      <c r="R10" s="317">
        <v>95422</v>
      </c>
      <c r="S10" s="317">
        <v>99991</v>
      </c>
      <c r="T10" s="317">
        <v>15490</v>
      </c>
      <c r="U10" s="317">
        <v>9179</v>
      </c>
      <c r="V10" s="317">
        <v>560034</v>
      </c>
      <c r="W10" s="317">
        <v>713376</v>
      </c>
      <c r="X10" s="317">
        <v>799267.15</v>
      </c>
      <c r="Y10" s="317">
        <v>78204328</v>
      </c>
      <c r="Z10" s="328">
        <v>78314</v>
      </c>
      <c r="AA10" s="328">
        <v>82993</v>
      </c>
      <c r="AB10" s="317">
        <v>77292</v>
      </c>
      <c r="AC10" s="317">
        <v>85620</v>
      </c>
      <c r="AD10" s="317">
        <v>280504</v>
      </c>
      <c r="AE10" s="317">
        <v>340033</v>
      </c>
      <c r="AF10" s="317"/>
      <c r="AG10" s="317">
        <v>446729</v>
      </c>
      <c r="AH10" s="317">
        <v>125874</v>
      </c>
      <c r="AI10" s="317">
        <v>133472</v>
      </c>
      <c r="AJ10" s="317"/>
      <c r="AK10" s="317">
        <v>122472</v>
      </c>
      <c r="AL10" s="321"/>
      <c r="AM10" s="791"/>
      <c r="AN10" s="319">
        <v>772724.62</v>
      </c>
      <c r="AO10" s="319">
        <v>91463887</v>
      </c>
      <c r="AP10" s="316">
        <v>38521.440000000002</v>
      </c>
      <c r="AQ10" s="316">
        <v>4518393</v>
      </c>
      <c r="AR10" s="271">
        <v>53649</v>
      </c>
      <c r="AS10" s="271">
        <v>61301</v>
      </c>
      <c r="AT10" s="306">
        <v>201519</v>
      </c>
      <c r="AU10" s="289">
        <v>205132</v>
      </c>
      <c r="AV10" s="309">
        <f t="shared" si="1"/>
        <v>4569782.59</v>
      </c>
      <c r="AW10" s="52">
        <f t="shared" si="2"/>
        <v>187458205</v>
      </c>
      <c r="AX10" s="289">
        <v>10000</v>
      </c>
      <c r="AY10" s="796">
        <v>10000</v>
      </c>
      <c r="AZ10" s="33">
        <f t="shared" si="0"/>
        <v>4579782.59</v>
      </c>
      <c r="BA10" s="804">
        <f t="shared" si="0"/>
        <v>187468205</v>
      </c>
    </row>
    <row r="11" spans="1:53" s="39" customFormat="1" ht="15" thickBot="1">
      <c r="A11" s="204" t="s">
        <v>114</v>
      </c>
      <c r="B11" s="331"/>
      <c r="C11" s="331"/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17"/>
      <c r="U11" s="317"/>
      <c r="V11" s="317"/>
      <c r="W11" s="317"/>
      <c r="X11" s="317"/>
      <c r="Y11" s="317"/>
      <c r="Z11" s="328"/>
      <c r="AA11" s="328"/>
      <c r="AB11" s="317"/>
      <c r="AC11" s="317"/>
      <c r="AD11" s="317"/>
      <c r="AE11" s="317"/>
      <c r="AF11" s="317"/>
      <c r="AG11" s="317"/>
      <c r="AH11" s="317"/>
      <c r="AI11" s="317"/>
      <c r="AJ11" s="317"/>
      <c r="AK11" s="317"/>
      <c r="AL11" s="321"/>
      <c r="AM11" s="321"/>
      <c r="AN11" s="263"/>
      <c r="AO11" s="263"/>
      <c r="AP11" s="316"/>
      <c r="AQ11" s="316"/>
      <c r="AR11" s="271"/>
      <c r="AS11" s="271"/>
      <c r="AT11" s="306"/>
      <c r="AU11" s="289"/>
      <c r="AV11" s="309">
        <f t="shared" si="1"/>
        <v>0</v>
      </c>
      <c r="AW11" s="52">
        <f t="shared" si="2"/>
        <v>0</v>
      </c>
      <c r="AX11" s="289"/>
      <c r="AY11" s="796"/>
      <c r="AZ11" s="33">
        <f t="shared" si="0"/>
        <v>0</v>
      </c>
      <c r="BA11" s="804">
        <f t="shared" si="0"/>
        <v>0</v>
      </c>
    </row>
    <row r="12" spans="1:53" s="39" customFormat="1" ht="15" thickBot="1">
      <c r="A12" s="204" t="s">
        <v>118</v>
      </c>
      <c r="B12" s="331"/>
      <c r="C12" s="331"/>
      <c r="D12" s="317"/>
      <c r="E12" s="317"/>
      <c r="F12" s="317">
        <v>171</v>
      </c>
      <c r="G12" s="317">
        <v>82</v>
      </c>
      <c r="H12" s="317">
        <v>29623</v>
      </c>
      <c r="I12" s="317">
        <v>28251</v>
      </c>
      <c r="J12" s="317">
        <v>19481.150000000001</v>
      </c>
      <c r="K12" s="317">
        <v>14967</v>
      </c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>
        <v>134711.23000000001</v>
      </c>
      <c r="Y12" s="317">
        <v>5112287</v>
      </c>
      <c r="Z12" s="328"/>
      <c r="AA12" s="328"/>
      <c r="AB12" s="317">
        <v>13229</v>
      </c>
      <c r="AC12" s="317">
        <v>7677</v>
      </c>
      <c r="AD12" s="317">
        <v>2227</v>
      </c>
      <c r="AE12" s="317">
        <v>37</v>
      </c>
      <c r="AF12" s="317"/>
      <c r="AG12" s="317">
        <v>170163</v>
      </c>
      <c r="AH12" s="317"/>
      <c r="AI12" s="288"/>
      <c r="AJ12" s="288"/>
      <c r="AK12" s="288"/>
      <c r="AL12" s="321"/>
      <c r="AM12" s="321"/>
      <c r="AN12" s="263"/>
      <c r="AO12" s="263"/>
      <c r="AP12" s="316"/>
      <c r="AQ12" s="316"/>
      <c r="AR12" s="271">
        <v>728</v>
      </c>
      <c r="AS12" s="271">
        <v>223</v>
      </c>
      <c r="AT12" s="306"/>
      <c r="AU12" s="289"/>
      <c r="AV12" s="309">
        <f>SUM(B12+D12+F12+H12+J12+L12+N12+P12+R12+T12+V12+X12+Z12+AB12+AD12+AF12+AH12+AJ13+AL12+AN12+AP12+AR12+AT12)</f>
        <v>325717.38</v>
      </c>
      <c r="AW12" s="52">
        <f t="shared" si="2"/>
        <v>5333687</v>
      </c>
      <c r="AX12" s="289"/>
      <c r="AY12" s="796"/>
      <c r="AZ12" s="33">
        <f t="shared" si="0"/>
        <v>325717.38</v>
      </c>
      <c r="BA12" s="804">
        <f t="shared" si="0"/>
        <v>5333687</v>
      </c>
    </row>
    <row r="13" spans="1:53" s="39" customFormat="1" ht="15" thickBot="1">
      <c r="A13" s="304" t="s">
        <v>194</v>
      </c>
      <c r="B13" s="331">
        <v>213569</v>
      </c>
      <c r="C13" s="331">
        <v>244560</v>
      </c>
      <c r="D13" s="317">
        <v>18264</v>
      </c>
      <c r="E13" s="317">
        <v>13859</v>
      </c>
      <c r="F13" s="317">
        <v>71627</v>
      </c>
      <c r="G13" s="317">
        <v>62683</v>
      </c>
      <c r="H13" s="317">
        <v>928446</v>
      </c>
      <c r="I13" s="317">
        <v>968498</v>
      </c>
      <c r="J13" s="317">
        <v>22481.79</v>
      </c>
      <c r="K13" s="317">
        <v>32807</v>
      </c>
      <c r="L13" s="317">
        <v>87964</v>
      </c>
      <c r="M13" s="317">
        <v>90935</v>
      </c>
      <c r="N13" s="317">
        <v>60978.68</v>
      </c>
      <c r="O13" s="317">
        <v>6628562</v>
      </c>
      <c r="P13" s="317">
        <v>19565.759999999998</v>
      </c>
      <c r="Q13" s="317">
        <v>2886096</v>
      </c>
      <c r="R13" s="317">
        <v>95422</v>
      </c>
      <c r="S13" s="317">
        <v>99991</v>
      </c>
      <c r="T13" s="317">
        <v>15490</v>
      </c>
      <c r="U13" s="317">
        <v>9179</v>
      </c>
      <c r="V13" s="317">
        <v>560034</v>
      </c>
      <c r="W13" s="317">
        <v>713376</v>
      </c>
      <c r="X13" s="317">
        <v>664555.92000000004</v>
      </c>
      <c r="Y13" s="317">
        <v>73092041</v>
      </c>
      <c r="Z13" s="328">
        <v>78314</v>
      </c>
      <c r="AA13" s="328">
        <v>82993</v>
      </c>
      <c r="AB13" s="317">
        <v>64063</v>
      </c>
      <c r="AC13" s="317">
        <v>77942</v>
      </c>
      <c r="AD13" s="317">
        <v>278277</v>
      </c>
      <c r="AE13" s="317">
        <v>339996</v>
      </c>
      <c r="AF13" s="317"/>
      <c r="AG13" s="317">
        <v>276566</v>
      </c>
      <c r="AH13" s="317">
        <v>125874</v>
      </c>
      <c r="AI13" s="317">
        <v>133472</v>
      </c>
      <c r="AJ13" s="317">
        <v>125547</v>
      </c>
      <c r="AK13" s="317">
        <v>122472</v>
      </c>
      <c r="AL13" s="321"/>
      <c r="AM13" s="791"/>
      <c r="AN13" s="319">
        <v>772724.62</v>
      </c>
      <c r="AO13" s="319">
        <v>91463887</v>
      </c>
      <c r="AP13" s="316">
        <v>38521.440000000002</v>
      </c>
      <c r="AQ13" s="316">
        <v>4518393</v>
      </c>
      <c r="AR13" s="271">
        <v>52921</v>
      </c>
      <c r="AS13" s="271">
        <v>61078</v>
      </c>
      <c r="AT13" s="306">
        <v>201519</v>
      </c>
      <c r="AU13" s="289">
        <v>205132</v>
      </c>
      <c r="AV13" s="309">
        <f>SUM(B13+D13+F13+H13+J13+L13+N13+P13+R13+T13+V13+X13+Z13+AB13+AD13+AF13+AH13+AJ13+AL13+AN13+AP13+AR13+AT13)</f>
        <v>4496159.21</v>
      </c>
      <c r="AW13" s="52">
        <f t="shared" si="2"/>
        <v>182124518</v>
      </c>
      <c r="AX13" s="301">
        <v>10000</v>
      </c>
      <c r="AY13" s="794">
        <v>10000</v>
      </c>
      <c r="AZ13" s="33">
        <f t="shared" si="0"/>
        <v>4506159.21</v>
      </c>
      <c r="BA13" s="804">
        <f t="shared" si="0"/>
        <v>182134518</v>
      </c>
    </row>
    <row r="14" spans="1:53" s="39" customFormat="1" ht="15" thickBot="1">
      <c r="A14" s="204" t="s">
        <v>119</v>
      </c>
      <c r="B14" s="331">
        <v>207575</v>
      </c>
      <c r="C14" s="331">
        <v>221201</v>
      </c>
      <c r="D14" s="317">
        <v>37086</v>
      </c>
      <c r="E14" s="317">
        <v>36136</v>
      </c>
      <c r="F14" s="317">
        <v>76806</v>
      </c>
      <c r="G14" s="317">
        <v>68233</v>
      </c>
      <c r="H14" s="317">
        <v>1017669</v>
      </c>
      <c r="I14" s="317">
        <v>1068533</v>
      </c>
      <c r="J14" s="317">
        <v>39930.89</v>
      </c>
      <c r="K14" s="317">
        <v>54138</v>
      </c>
      <c r="L14" s="317">
        <v>130723</v>
      </c>
      <c r="M14" s="317">
        <v>141244</v>
      </c>
      <c r="N14" s="317">
        <v>67959.05</v>
      </c>
      <c r="O14" s="317">
        <v>7584998</v>
      </c>
      <c r="P14" s="317">
        <v>22296.59</v>
      </c>
      <c r="Q14" s="317">
        <v>3237501</v>
      </c>
      <c r="R14" s="317">
        <v>110178</v>
      </c>
      <c r="S14" s="317">
        <v>130545</v>
      </c>
      <c r="T14" s="317">
        <v>26017</v>
      </c>
      <c r="U14" s="317">
        <v>30718</v>
      </c>
      <c r="V14" s="317">
        <v>669947</v>
      </c>
      <c r="W14" s="317">
        <v>756706</v>
      </c>
      <c r="X14" s="317">
        <v>772661.59</v>
      </c>
      <c r="Y14" s="317">
        <v>85004894</v>
      </c>
      <c r="Z14" s="317">
        <v>84104</v>
      </c>
      <c r="AA14" s="317">
        <v>94975</v>
      </c>
      <c r="AB14" s="317">
        <v>72868</v>
      </c>
      <c r="AC14" s="317">
        <v>86439</v>
      </c>
      <c r="AD14" s="317">
        <v>315319</v>
      </c>
      <c r="AE14" s="317">
        <v>377763</v>
      </c>
      <c r="AF14" s="317"/>
      <c r="AG14" s="317">
        <v>532627</v>
      </c>
      <c r="AH14" s="317">
        <v>155764</v>
      </c>
      <c r="AI14" s="317">
        <v>183558</v>
      </c>
      <c r="AJ14" s="317">
        <v>157968</v>
      </c>
      <c r="AK14" s="317">
        <v>130210</v>
      </c>
      <c r="AL14" s="317"/>
      <c r="AM14" s="317"/>
      <c r="AN14" s="317">
        <v>798223.64</v>
      </c>
      <c r="AO14" s="317">
        <v>100170787</v>
      </c>
      <c r="AP14" s="317">
        <v>38608.01</v>
      </c>
      <c r="AQ14" s="317">
        <v>4908795</v>
      </c>
      <c r="AR14" s="306">
        <v>73731</v>
      </c>
      <c r="AS14" s="306">
        <v>85898</v>
      </c>
      <c r="AT14" s="306">
        <v>206323</v>
      </c>
      <c r="AU14" s="289">
        <v>264155</v>
      </c>
      <c r="AV14" s="309">
        <f>SUM(B14+D14+F14+H14+J14+L14+N14+P14+R14+T14+V14+X14+Z14+AB14+AD14+AF14+AH14+AJ14+AL14+AN14+AP14+AR14+AT14)</f>
        <v>5081757.7699999996</v>
      </c>
      <c r="AW14" s="52">
        <f t="shared" si="2"/>
        <v>205170054</v>
      </c>
      <c r="AX14" s="289">
        <v>14561101</v>
      </c>
      <c r="AY14" s="796">
        <v>15778625</v>
      </c>
      <c r="AZ14" s="33">
        <f t="shared" si="0"/>
        <v>19642858.77</v>
      </c>
      <c r="BA14" s="804">
        <f t="shared" si="0"/>
        <v>220948679</v>
      </c>
    </row>
    <row r="15" spans="1:53" s="39" customFormat="1" ht="15" thickBot="1">
      <c r="A15" s="204" t="s">
        <v>120</v>
      </c>
      <c r="B15" s="333">
        <v>106035</v>
      </c>
      <c r="C15" s="333">
        <v>120785</v>
      </c>
      <c r="D15" s="325">
        <v>13530</v>
      </c>
      <c r="E15" s="325">
        <v>15472</v>
      </c>
      <c r="F15" s="325">
        <v>25047</v>
      </c>
      <c r="G15" s="325">
        <v>27459</v>
      </c>
      <c r="H15" s="325">
        <v>128829</v>
      </c>
      <c r="I15" s="325">
        <v>140622</v>
      </c>
      <c r="J15" s="325">
        <v>22684.81</v>
      </c>
      <c r="K15" s="325">
        <v>27696</v>
      </c>
      <c r="L15" s="325">
        <v>33405</v>
      </c>
      <c r="M15" s="325">
        <v>40526</v>
      </c>
      <c r="N15" s="325">
        <v>19382.97</v>
      </c>
      <c r="O15" s="325">
        <v>1957460</v>
      </c>
      <c r="P15" s="325">
        <v>10416.5</v>
      </c>
      <c r="Q15" s="325">
        <v>1352332</v>
      </c>
      <c r="R15" s="325">
        <v>55960</v>
      </c>
      <c r="S15" s="325">
        <v>61174</v>
      </c>
      <c r="T15" s="325">
        <v>16660</v>
      </c>
      <c r="U15" s="325">
        <v>17863</v>
      </c>
      <c r="V15" s="325">
        <v>346564</v>
      </c>
      <c r="W15" s="325">
        <v>398408</v>
      </c>
      <c r="X15" s="325">
        <v>356585.08</v>
      </c>
      <c r="Y15" s="325">
        <v>41445594</v>
      </c>
      <c r="Z15" s="329">
        <v>26294</v>
      </c>
      <c r="AA15" s="329">
        <v>28892</v>
      </c>
      <c r="AB15" s="325">
        <v>40663</v>
      </c>
      <c r="AC15" s="325">
        <v>47967</v>
      </c>
      <c r="AD15" s="325">
        <v>104280</v>
      </c>
      <c r="AE15" s="325">
        <v>125797</v>
      </c>
      <c r="AF15" s="325"/>
      <c r="AG15" s="325">
        <v>250774</v>
      </c>
      <c r="AH15" s="325">
        <v>77516</v>
      </c>
      <c r="AI15" s="325">
        <v>90154</v>
      </c>
      <c r="AJ15" s="325">
        <v>59344</v>
      </c>
      <c r="AK15" s="325">
        <v>62879</v>
      </c>
      <c r="AL15" s="322"/>
      <c r="AM15" s="791"/>
      <c r="AN15" s="319">
        <v>367227.03</v>
      </c>
      <c r="AO15" s="319">
        <v>41907363</v>
      </c>
      <c r="AP15" s="318">
        <v>21158.79</v>
      </c>
      <c r="AQ15" s="318">
        <v>2345055</v>
      </c>
      <c r="AR15" s="314">
        <v>27872</v>
      </c>
      <c r="AS15" s="314">
        <v>33983</v>
      </c>
      <c r="AT15" s="308">
        <v>93922</v>
      </c>
      <c r="AU15" s="792">
        <v>123442</v>
      </c>
      <c r="AV15" s="310">
        <f>SUM(B15+D15+F15+H15+J15+L15+N15+P15+R15+T15+V15+X15+Z15+AB15+AD15+AF15+AH15+AJ15+AL15+AN15+AP15+AR15+AT15)</f>
        <v>1953376.1800000002</v>
      </c>
      <c r="AW15" s="52">
        <f t="shared" si="2"/>
        <v>90621697</v>
      </c>
      <c r="AX15" s="312">
        <v>9083492</v>
      </c>
      <c r="AY15" s="797">
        <v>9882277</v>
      </c>
      <c r="AZ15" s="33">
        <f t="shared" si="0"/>
        <v>11036868.18</v>
      </c>
      <c r="BA15" s="804">
        <f t="shared" si="0"/>
        <v>100503974</v>
      </c>
    </row>
    <row r="16" spans="1:53" s="565" customFormat="1" ht="15" thickBot="1">
      <c r="A16" s="557" t="s">
        <v>121</v>
      </c>
      <c r="B16" s="558">
        <v>1.96</v>
      </c>
      <c r="C16" s="558">
        <v>1.83</v>
      </c>
      <c r="D16" s="559">
        <v>2.74</v>
      </c>
      <c r="E16" s="559">
        <v>2.34</v>
      </c>
      <c r="F16" s="559">
        <v>3.07</v>
      </c>
      <c r="G16" s="559">
        <v>2.48</v>
      </c>
      <c r="H16" s="559">
        <v>7.9</v>
      </c>
      <c r="I16" s="559">
        <v>7.6</v>
      </c>
      <c r="J16" s="559">
        <f t="shared" ref="J16:BA16" si="3">J14/J15</f>
        <v>1.7602479368352655</v>
      </c>
      <c r="K16" s="559">
        <v>1.95</v>
      </c>
      <c r="L16" s="559">
        <f t="shared" si="3"/>
        <v>3.9132764556204163</v>
      </c>
      <c r="M16" s="559">
        <f t="shared" si="3"/>
        <v>3.4852687163796081</v>
      </c>
      <c r="N16" s="559">
        <f t="shared" si="3"/>
        <v>3.5061216108780027</v>
      </c>
      <c r="O16" s="559">
        <f t="shared" si="3"/>
        <v>3.8749185168534734</v>
      </c>
      <c r="P16" s="559">
        <f t="shared" si="3"/>
        <v>2.1405068881102096</v>
      </c>
      <c r="Q16" s="559">
        <f t="shared" si="3"/>
        <v>2.394013452317922</v>
      </c>
      <c r="R16" s="559">
        <f t="shared" si="3"/>
        <v>1.9688706218727663</v>
      </c>
      <c r="S16" s="559">
        <f t="shared" si="3"/>
        <v>2.1339948344067743</v>
      </c>
      <c r="T16" s="559">
        <f t="shared" si="3"/>
        <v>1.5616446578631453</v>
      </c>
      <c r="U16" s="559">
        <f t="shared" si="3"/>
        <v>1.7196439567821755</v>
      </c>
      <c r="V16" s="559">
        <f t="shared" si="3"/>
        <v>1.933111921607553</v>
      </c>
      <c r="W16" s="559">
        <f t="shared" si="3"/>
        <v>1.8993243107568121</v>
      </c>
      <c r="X16" s="559">
        <f t="shared" si="3"/>
        <v>2.1668365653436759</v>
      </c>
      <c r="Y16" s="559">
        <f t="shared" si="3"/>
        <v>2.0509995344740384</v>
      </c>
      <c r="Z16" s="560">
        <f t="shared" si="3"/>
        <v>3.1986004411652846</v>
      </c>
      <c r="AA16" s="560">
        <f t="shared" si="3"/>
        <v>3.2872421431538141</v>
      </c>
      <c r="AB16" s="559">
        <f t="shared" si="3"/>
        <v>1.7919976391313972</v>
      </c>
      <c r="AC16" s="559">
        <f t="shared" si="3"/>
        <v>1.8020514103446119</v>
      </c>
      <c r="AD16" s="559">
        <f t="shared" si="3"/>
        <v>3.0237725354813962</v>
      </c>
      <c r="AE16" s="559">
        <f t="shared" si="3"/>
        <v>3.0029571452419375</v>
      </c>
      <c r="AF16" s="559" t="e">
        <f t="shared" si="3"/>
        <v>#DIV/0!</v>
      </c>
      <c r="AG16" s="559">
        <f t="shared" si="3"/>
        <v>2.1239323055819184</v>
      </c>
      <c r="AH16" s="559">
        <f t="shared" si="3"/>
        <v>2.0094432117240313</v>
      </c>
      <c r="AI16" s="559">
        <f t="shared" si="3"/>
        <v>2.036049426536815</v>
      </c>
      <c r="AJ16" s="559">
        <f t="shared" si="3"/>
        <v>2.6619034780264221</v>
      </c>
      <c r="AK16" s="559">
        <f t="shared" si="3"/>
        <v>2.0708026527139425</v>
      </c>
      <c r="AL16" s="561" t="e">
        <f t="shared" si="3"/>
        <v>#DIV/0!</v>
      </c>
      <c r="AM16" s="561" t="e">
        <f t="shared" si="3"/>
        <v>#DIV/0!</v>
      </c>
      <c r="AN16" s="559">
        <f t="shared" si="3"/>
        <v>2.1736516508602319</v>
      </c>
      <c r="AO16" s="559">
        <f t="shared" si="3"/>
        <v>2.3902908660704805</v>
      </c>
      <c r="AP16" s="562">
        <f t="shared" si="3"/>
        <v>1.8246794830895339</v>
      </c>
      <c r="AQ16" s="562">
        <f t="shared" si="3"/>
        <v>2.0932536763530067</v>
      </c>
      <c r="AR16" s="563">
        <f t="shared" si="3"/>
        <v>2.6453429965556832</v>
      </c>
      <c r="AS16" s="563">
        <f t="shared" si="3"/>
        <v>2.5276756025071361</v>
      </c>
      <c r="AT16" s="557">
        <f t="shared" si="3"/>
        <v>2.1967483656651265</v>
      </c>
      <c r="AU16" s="564">
        <f t="shared" si="3"/>
        <v>2.1399118614410004</v>
      </c>
      <c r="AV16" s="564">
        <f t="shared" si="3"/>
        <v>2.6015254112497672</v>
      </c>
      <c r="AW16" s="564">
        <f t="shared" si="3"/>
        <v>2.2640279402404042</v>
      </c>
      <c r="AX16" s="564">
        <f t="shared" si="3"/>
        <v>1.6030289892917833</v>
      </c>
      <c r="AY16" s="798">
        <f t="shared" si="3"/>
        <v>1.5966588469438774</v>
      </c>
      <c r="AZ16" s="800">
        <f t="shared" si="3"/>
        <v>1.7797493319341249</v>
      </c>
      <c r="BA16" s="815">
        <f t="shared" si="3"/>
        <v>2.1984073883486439</v>
      </c>
    </row>
  </sheetData>
  <mergeCells count="28">
    <mergeCell ref="A1:AZ1"/>
    <mergeCell ref="A2:A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14"/>
  <sheetViews>
    <sheetView workbookViewId="0">
      <pane xSplit="1" topLeftCell="AT1" activePane="topRight" state="frozen"/>
      <selection pane="topRight" activeCell="AU11" sqref="AU11"/>
    </sheetView>
    <sheetView workbookViewId="1">
      <selection sqref="A1:BA1"/>
    </sheetView>
  </sheetViews>
  <sheetFormatPr defaultRowHeight="13.5"/>
  <cols>
    <col min="1" max="1" width="22.85546875" style="81" customWidth="1"/>
    <col min="2" max="5" width="11.42578125" style="81" bestFit="1" customWidth="1"/>
    <col min="6" max="7" width="9.140625" style="81" customWidth="1"/>
    <col min="8" max="8" width="8.7109375" style="81" customWidth="1"/>
    <col min="9" max="9" width="9.28515625" style="81" customWidth="1"/>
    <col min="10" max="10" width="9.140625" style="81" customWidth="1"/>
    <col min="11" max="11" width="11.42578125" style="81" bestFit="1" customWidth="1"/>
    <col min="12" max="12" width="8" style="81" customWidth="1"/>
    <col min="13" max="13" width="8.140625" style="81" customWidth="1"/>
    <col min="14" max="14" width="8.7109375" style="81" customWidth="1"/>
    <col min="15" max="19" width="11.42578125" style="81" bestFit="1" customWidth="1"/>
    <col min="20" max="21" width="11.7109375" style="81" bestFit="1" customWidth="1"/>
    <col min="22" max="28" width="11.42578125" style="81" bestFit="1" customWidth="1"/>
    <col min="29" max="29" width="13.7109375" style="81" customWidth="1"/>
    <col min="30" max="34" width="11.42578125" style="81" bestFit="1" customWidth="1"/>
    <col min="35" max="35" width="9" style="81" customWidth="1"/>
    <col min="36" max="36" width="7.85546875" style="81" customWidth="1"/>
    <col min="37" max="39" width="11.42578125" style="81" bestFit="1" customWidth="1"/>
    <col min="40" max="41" width="9.140625" style="81" customWidth="1"/>
    <col min="42" max="43" width="11.42578125" style="81" bestFit="1" customWidth="1"/>
    <col min="44" max="44" width="8.5703125" style="81" customWidth="1"/>
    <col min="45" max="45" width="9.42578125" style="81" customWidth="1"/>
    <col min="46" max="46" width="6.5703125" style="81" customWidth="1"/>
    <col min="47" max="53" width="11.42578125" style="81" bestFit="1" customWidth="1"/>
    <col min="54" max="16384" width="9.140625" style="81"/>
  </cols>
  <sheetData>
    <row r="1" spans="1:53">
      <c r="A1" s="1299" t="s">
        <v>277</v>
      </c>
      <c r="B1" s="1299"/>
      <c r="C1" s="1299"/>
      <c r="D1" s="1299"/>
      <c r="E1" s="1299"/>
      <c r="F1" s="1299"/>
      <c r="G1" s="1299"/>
      <c r="H1" s="1299"/>
      <c r="I1" s="1299"/>
      <c r="J1" s="1299"/>
      <c r="K1" s="1299"/>
      <c r="L1" s="1299"/>
      <c r="M1" s="1299"/>
      <c r="N1" s="1299"/>
      <c r="O1" s="1299"/>
      <c r="P1" s="1299"/>
      <c r="Q1" s="1299"/>
      <c r="R1" s="1299"/>
      <c r="S1" s="1299"/>
      <c r="T1" s="1299"/>
      <c r="U1" s="1299"/>
      <c r="V1" s="1299"/>
      <c r="W1" s="1299"/>
      <c r="X1" s="1299"/>
      <c r="Y1" s="1299"/>
      <c r="Z1" s="1299"/>
      <c r="AA1" s="1299"/>
      <c r="AB1" s="1299"/>
      <c r="AC1" s="1299"/>
      <c r="AD1" s="1299"/>
      <c r="AE1" s="1299"/>
      <c r="AF1" s="1299"/>
      <c r="AG1" s="1299"/>
      <c r="AH1" s="1299"/>
      <c r="AI1" s="1299"/>
      <c r="AJ1" s="1299"/>
      <c r="AK1" s="1299"/>
      <c r="AL1" s="1299"/>
      <c r="AM1" s="1299"/>
      <c r="AN1" s="1299"/>
      <c r="AO1" s="1299"/>
      <c r="AP1" s="1299"/>
      <c r="AQ1" s="1299"/>
      <c r="AR1" s="1299"/>
      <c r="AS1" s="1299"/>
      <c r="AT1" s="1299"/>
      <c r="AU1" s="1299"/>
      <c r="AV1" s="1299"/>
      <c r="AW1" s="1299"/>
      <c r="AX1" s="1299"/>
      <c r="AY1" s="1299"/>
      <c r="AZ1" s="1299"/>
      <c r="BA1" s="1299"/>
    </row>
    <row r="2" spans="1:53" ht="16.5" thickBot="1">
      <c r="A2" s="1237" t="s">
        <v>162</v>
      </c>
      <c r="B2" s="1237"/>
      <c r="C2" s="1237"/>
      <c r="D2" s="1237"/>
      <c r="E2" s="1237"/>
      <c r="F2" s="1237"/>
      <c r="G2" s="1237"/>
      <c r="H2" s="1237"/>
      <c r="I2" s="1237"/>
      <c r="J2" s="1237"/>
      <c r="K2" s="1237"/>
      <c r="L2" s="1237"/>
      <c r="M2" s="1237"/>
      <c r="N2" s="1237"/>
      <c r="O2" s="1237"/>
      <c r="P2" s="1237"/>
      <c r="Q2" s="1237"/>
      <c r="R2" s="1237"/>
      <c r="S2" s="1237"/>
      <c r="T2" s="1237"/>
      <c r="U2" s="1237"/>
      <c r="V2" s="1237"/>
      <c r="W2" s="1237"/>
      <c r="X2" s="1237"/>
      <c r="Y2" s="1237"/>
      <c r="Z2" s="1237"/>
      <c r="AA2" s="1237"/>
      <c r="AB2" s="1237"/>
      <c r="AC2" s="1237"/>
      <c r="AD2" s="1237"/>
      <c r="AE2" s="1237"/>
      <c r="AF2" s="1237"/>
      <c r="AG2" s="1237"/>
      <c r="AH2" s="1237"/>
      <c r="AI2" s="1237"/>
      <c r="AJ2" s="1237"/>
      <c r="AK2" s="1237"/>
      <c r="AL2" s="1237"/>
      <c r="AM2" s="1237"/>
      <c r="AN2" s="1237"/>
      <c r="AO2" s="1237"/>
      <c r="AP2" s="1237"/>
      <c r="AQ2" s="1237"/>
      <c r="AR2" s="1237"/>
      <c r="AS2" s="1237"/>
      <c r="AT2" s="1237"/>
      <c r="AU2" s="1237"/>
      <c r="AV2" s="1237"/>
      <c r="AW2" s="1237"/>
      <c r="AX2" s="1237"/>
      <c r="AY2" s="1237"/>
      <c r="AZ2" s="1237"/>
      <c r="BA2" s="1237"/>
    </row>
    <row r="3" spans="1:53" s="1058" customFormat="1" ht="41.25" customHeight="1" thickBot="1">
      <c r="A3" s="1310" t="s">
        <v>0</v>
      </c>
      <c r="B3" s="1301" t="s">
        <v>164</v>
      </c>
      <c r="C3" s="1302"/>
      <c r="D3" s="1303" t="s">
        <v>165</v>
      </c>
      <c r="E3" s="1304"/>
      <c r="F3" s="1312" t="s">
        <v>166</v>
      </c>
      <c r="G3" s="1314"/>
      <c r="H3" s="1315" t="s">
        <v>167</v>
      </c>
      <c r="I3" s="1316"/>
      <c r="J3" s="1305" t="s">
        <v>168</v>
      </c>
      <c r="K3" s="1309"/>
      <c r="L3" s="1305" t="s">
        <v>169</v>
      </c>
      <c r="M3" s="1309"/>
      <c r="N3" s="1305" t="s">
        <v>371</v>
      </c>
      <c r="O3" s="1306"/>
      <c r="P3" s="1305" t="s">
        <v>171</v>
      </c>
      <c r="Q3" s="1309"/>
      <c r="R3" s="1305" t="s">
        <v>172</v>
      </c>
      <c r="S3" s="1309"/>
      <c r="T3" s="1305" t="s">
        <v>173</v>
      </c>
      <c r="U3" s="1309"/>
      <c r="V3" s="1305" t="s">
        <v>174</v>
      </c>
      <c r="W3" s="1317"/>
      <c r="X3" s="1305" t="s">
        <v>175</v>
      </c>
      <c r="Y3" s="1309"/>
      <c r="Z3" s="1305" t="s">
        <v>176</v>
      </c>
      <c r="AA3" s="1309"/>
      <c r="AB3" s="1305" t="s">
        <v>177</v>
      </c>
      <c r="AC3" s="1306"/>
      <c r="AD3" s="1307" t="s">
        <v>178</v>
      </c>
      <c r="AE3" s="1308"/>
      <c r="AF3" s="1305" t="s">
        <v>179</v>
      </c>
      <c r="AG3" s="1309"/>
      <c r="AH3" s="1305" t="s">
        <v>180</v>
      </c>
      <c r="AI3" s="1317"/>
      <c r="AJ3" s="1305" t="s">
        <v>181</v>
      </c>
      <c r="AK3" s="1309"/>
      <c r="AL3" s="1318" t="s">
        <v>182</v>
      </c>
      <c r="AM3" s="1321"/>
      <c r="AN3" s="1305" t="s">
        <v>183</v>
      </c>
      <c r="AO3" s="1309"/>
      <c r="AP3" s="1317" t="s">
        <v>184</v>
      </c>
      <c r="AQ3" s="1309"/>
      <c r="AR3" s="1312" t="s">
        <v>185</v>
      </c>
      <c r="AS3" s="1313"/>
      <c r="AT3" s="1317" t="s">
        <v>186</v>
      </c>
      <c r="AU3" s="1317"/>
      <c r="AV3" s="1305" t="s">
        <v>1</v>
      </c>
      <c r="AW3" s="1309"/>
      <c r="AX3" s="1318" t="s">
        <v>187</v>
      </c>
      <c r="AY3" s="1308"/>
      <c r="AZ3" s="1319" t="s">
        <v>2</v>
      </c>
      <c r="BA3" s="1320"/>
    </row>
    <row r="4" spans="1:53" s="377" customFormat="1" ht="15" thickBot="1">
      <c r="A4" s="1311"/>
      <c r="B4" s="1057" t="s">
        <v>295</v>
      </c>
      <c r="C4" s="466" t="s">
        <v>363</v>
      </c>
      <c r="D4" s="473" t="s">
        <v>295</v>
      </c>
      <c r="E4" s="1057" t="s">
        <v>363</v>
      </c>
      <c r="F4" s="473" t="s">
        <v>295</v>
      </c>
      <c r="G4" s="1057" t="s">
        <v>363</v>
      </c>
      <c r="H4" s="473" t="s">
        <v>295</v>
      </c>
      <c r="I4" s="471" t="s">
        <v>363</v>
      </c>
      <c r="J4" s="474" t="s">
        <v>295</v>
      </c>
      <c r="K4" s="474" t="s">
        <v>363</v>
      </c>
      <c r="L4" s="473" t="s">
        <v>295</v>
      </c>
      <c r="M4" s="474" t="s">
        <v>363</v>
      </c>
      <c r="N4" s="473" t="s">
        <v>295</v>
      </c>
      <c r="O4" s="474" t="s">
        <v>363</v>
      </c>
      <c r="P4" s="473" t="s">
        <v>295</v>
      </c>
      <c r="Q4" s="474" t="s">
        <v>363</v>
      </c>
      <c r="R4" s="473" t="s">
        <v>295</v>
      </c>
      <c r="S4" s="471" t="s">
        <v>363</v>
      </c>
      <c r="T4" s="473" t="s">
        <v>295</v>
      </c>
      <c r="U4" s="471" t="s">
        <v>363</v>
      </c>
      <c r="V4" s="473" t="s">
        <v>295</v>
      </c>
      <c r="W4" s="474" t="s">
        <v>363</v>
      </c>
      <c r="X4" s="473" t="s">
        <v>295</v>
      </c>
      <c r="Y4" s="474" t="s">
        <v>363</v>
      </c>
      <c r="Z4" s="473" t="s">
        <v>295</v>
      </c>
      <c r="AA4" s="474" t="s">
        <v>363</v>
      </c>
      <c r="AB4" s="473" t="s">
        <v>295</v>
      </c>
      <c r="AC4" s="474" t="s">
        <v>363</v>
      </c>
      <c r="AD4" s="473" t="s">
        <v>295</v>
      </c>
      <c r="AE4" s="474" t="s">
        <v>363</v>
      </c>
      <c r="AF4" s="473" t="s">
        <v>295</v>
      </c>
      <c r="AG4" s="474" t="s">
        <v>363</v>
      </c>
      <c r="AH4" s="473" t="s">
        <v>295</v>
      </c>
      <c r="AI4" s="474" t="s">
        <v>363</v>
      </c>
      <c r="AJ4" s="473" t="s">
        <v>295</v>
      </c>
      <c r="AK4" s="474" t="s">
        <v>363</v>
      </c>
      <c r="AL4" s="473" t="s">
        <v>295</v>
      </c>
      <c r="AM4" s="474" t="s">
        <v>363</v>
      </c>
      <c r="AN4" s="458" t="s">
        <v>295</v>
      </c>
      <c r="AO4" s="471" t="s">
        <v>363</v>
      </c>
      <c r="AP4" s="474" t="s">
        <v>295</v>
      </c>
      <c r="AQ4" s="474" t="s">
        <v>363</v>
      </c>
      <c r="AR4" s="473" t="s">
        <v>295</v>
      </c>
      <c r="AS4" s="474" t="s">
        <v>363</v>
      </c>
      <c r="AT4" s="458" t="s">
        <v>295</v>
      </c>
      <c r="AU4" s="474" t="s">
        <v>363</v>
      </c>
      <c r="AV4" s="473" t="s">
        <v>295</v>
      </c>
      <c r="AW4" s="471" t="s">
        <v>363</v>
      </c>
      <c r="AX4" s="473" t="s">
        <v>295</v>
      </c>
      <c r="AY4" s="474" t="s">
        <v>363</v>
      </c>
      <c r="AZ4" s="473" t="s">
        <v>295</v>
      </c>
      <c r="BA4" s="471" t="s">
        <v>363</v>
      </c>
    </row>
    <row r="5" spans="1:53" s="85" customFormat="1" ht="15" customHeight="1">
      <c r="A5" s="93" t="s">
        <v>3</v>
      </c>
      <c r="B5" s="285">
        <v>2.4300000000000002</v>
      </c>
      <c r="C5" s="284">
        <v>12.02</v>
      </c>
      <c r="D5" s="281"/>
      <c r="E5" s="283"/>
      <c r="F5" s="281">
        <v>2.0000000000000001E-4</v>
      </c>
      <c r="G5" s="282">
        <v>0.04</v>
      </c>
      <c r="H5" s="281">
        <v>4</v>
      </c>
      <c r="I5" s="283">
        <v>4</v>
      </c>
      <c r="J5" s="285"/>
      <c r="K5" s="282"/>
      <c r="L5" s="281"/>
      <c r="M5" s="282"/>
      <c r="N5" s="281"/>
      <c r="O5" s="282"/>
      <c r="P5" s="281"/>
      <c r="Q5" s="282">
        <v>0.01</v>
      </c>
      <c r="R5" s="281"/>
      <c r="S5" s="283"/>
      <c r="T5" s="281">
        <v>0.02</v>
      </c>
      <c r="U5" s="283">
        <v>0.03</v>
      </c>
      <c r="V5" s="281">
        <v>0.19</v>
      </c>
      <c r="W5" s="282">
        <v>129.05000000000001</v>
      </c>
      <c r="X5" s="281">
        <v>5</v>
      </c>
      <c r="Y5" s="282">
        <v>1</v>
      </c>
      <c r="Z5" s="281"/>
      <c r="AA5" s="282"/>
      <c r="AB5" s="297"/>
      <c r="AC5" s="340"/>
      <c r="AD5" s="285">
        <v>0.03</v>
      </c>
      <c r="AE5" s="282"/>
      <c r="AF5" s="281">
        <v>0.54</v>
      </c>
      <c r="AG5" s="282">
        <v>0.36</v>
      </c>
      <c r="AH5" s="281">
        <v>0.02</v>
      </c>
      <c r="AI5" s="282"/>
      <c r="AJ5" s="281"/>
      <c r="AK5" s="282"/>
      <c r="AL5" s="281"/>
      <c r="AM5" s="284"/>
      <c r="AN5" s="821">
        <v>15</v>
      </c>
      <c r="AO5" s="822">
        <v>3</v>
      </c>
      <c r="AP5" s="285"/>
      <c r="AQ5" s="282"/>
      <c r="AR5" s="281"/>
      <c r="AS5" s="282">
        <v>2E-3</v>
      </c>
      <c r="AT5" s="769">
        <v>1.22</v>
      </c>
      <c r="AU5" s="1064">
        <v>0.38</v>
      </c>
      <c r="AV5" s="279">
        <f t="shared" ref="AV5:AV14" si="0">SUM(B5+D5+F5+H5+J5+L5+N5+P5+R5+T5+V5+X5+Z5+P5+AD5+AF5+AH5+AJ5+AL5+AN5+AP5+AR5+B5)</f>
        <v>29.6602</v>
      </c>
      <c r="AW5" s="1066">
        <f t="shared" ref="AW5:AW14" si="1">SUM(C5+E5+G5+I5+K5+M5+O5+Q5+S5+U5+W5+Y5+AA5+Q5+AE5+AG5+AI5+AK5+AM5+AO5+AQ5+AS5+C5)</f>
        <v>161.54200000000003</v>
      </c>
      <c r="AX5" s="281">
        <v>948.82</v>
      </c>
      <c r="AY5" s="282"/>
      <c r="AZ5" s="279">
        <f t="shared" ref="AZ5:AZ14" si="2">AV5+AX5</f>
        <v>978.48020000000008</v>
      </c>
      <c r="BA5" s="280">
        <f t="shared" ref="BA5:BA14" si="3">AW5+AY5</f>
        <v>161.54200000000003</v>
      </c>
    </row>
    <row r="6" spans="1:53" s="85" customFormat="1">
      <c r="A6" s="93" t="s">
        <v>4</v>
      </c>
      <c r="B6" s="34">
        <v>9.02</v>
      </c>
      <c r="C6" s="86">
        <v>-5.85</v>
      </c>
      <c r="D6" s="6"/>
      <c r="E6" s="8"/>
      <c r="F6" s="6"/>
      <c r="G6" s="7"/>
      <c r="H6" s="6">
        <v>142</v>
      </c>
      <c r="I6" s="8">
        <v>42</v>
      </c>
      <c r="J6" s="34">
        <v>1</v>
      </c>
      <c r="K6" s="7">
        <v>2.1</v>
      </c>
      <c r="L6" s="6">
        <v>75.7</v>
      </c>
      <c r="M6" s="7">
        <v>108.21</v>
      </c>
      <c r="N6" s="6">
        <v>0.05</v>
      </c>
      <c r="O6" s="7"/>
      <c r="P6" s="6"/>
      <c r="Q6" s="7">
        <v>0.47</v>
      </c>
      <c r="R6" s="6">
        <v>0.05</v>
      </c>
      <c r="S6" s="8">
        <v>0.05</v>
      </c>
      <c r="T6" s="6">
        <v>12.51</v>
      </c>
      <c r="U6" s="8">
        <v>-0.78</v>
      </c>
      <c r="V6" s="6">
        <v>258.04000000000002</v>
      </c>
      <c r="W6" s="7">
        <v>91.69</v>
      </c>
      <c r="X6" s="6">
        <v>141</v>
      </c>
      <c r="Y6" s="7">
        <v>23</v>
      </c>
      <c r="Z6" s="79">
        <v>28.55</v>
      </c>
      <c r="AA6" s="80">
        <v>6.33</v>
      </c>
      <c r="AB6" s="296">
        <v>27.58</v>
      </c>
      <c r="AC6" s="339">
        <v>16.53</v>
      </c>
      <c r="AD6" s="34">
        <v>45.62</v>
      </c>
      <c r="AE6" s="7">
        <v>14.22</v>
      </c>
      <c r="AF6" s="6">
        <v>62.34</v>
      </c>
      <c r="AG6" s="7">
        <v>19.809999999999999</v>
      </c>
      <c r="AH6" s="6">
        <v>57.99</v>
      </c>
      <c r="AI6" s="7">
        <v>25.34</v>
      </c>
      <c r="AJ6" s="6"/>
      <c r="AK6" s="7"/>
      <c r="AL6" s="92"/>
      <c r="AM6" s="86"/>
      <c r="AN6" s="823">
        <v>541</v>
      </c>
      <c r="AO6" s="824">
        <v>430</v>
      </c>
      <c r="AP6" s="820"/>
      <c r="AQ6" s="87"/>
      <c r="AR6" s="88">
        <v>20.87</v>
      </c>
      <c r="AS6" s="89">
        <v>33.85</v>
      </c>
      <c r="AT6" s="296"/>
      <c r="AU6" s="1065">
        <v>0.01</v>
      </c>
      <c r="AV6" s="279">
        <f t="shared" si="0"/>
        <v>1404.76</v>
      </c>
      <c r="AW6" s="1066">
        <f t="shared" si="1"/>
        <v>785.06</v>
      </c>
      <c r="AX6" s="88">
        <v>0.5</v>
      </c>
      <c r="AY6" s="89"/>
      <c r="AZ6" s="76">
        <f t="shared" si="2"/>
        <v>1405.26</v>
      </c>
      <c r="BA6" s="84">
        <f t="shared" si="3"/>
        <v>785.06</v>
      </c>
    </row>
    <row r="7" spans="1:53" s="85" customFormat="1">
      <c r="A7" s="93" t="s">
        <v>5</v>
      </c>
      <c r="B7" s="34">
        <v>8.5500000000000007</v>
      </c>
      <c r="C7" s="86">
        <v>13.17</v>
      </c>
      <c r="D7" s="6"/>
      <c r="E7" s="8">
        <v>0.69</v>
      </c>
      <c r="F7" s="6"/>
      <c r="G7" s="7"/>
      <c r="H7" s="6">
        <v>103</v>
      </c>
      <c r="I7" s="8">
        <v>6</v>
      </c>
      <c r="J7" s="34"/>
      <c r="K7" s="7"/>
      <c r="L7" s="6">
        <v>2.34</v>
      </c>
      <c r="M7" s="7">
        <v>0.9</v>
      </c>
      <c r="N7" s="6">
        <v>24.11</v>
      </c>
      <c r="O7" s="7">
        <v>-0.28000000000000003</v>
      </c>
      <c r="P7" s="6"/>
      <c r="Q7" s="7"/>
      <c r="R7" s="6"/>
      <c r="S7" s="8"/>
      <c r="T7" s="6">
        <v>0.08</v>
      </c>
      <c r="U7" s="8"/>
      <c r="V7" s="6">
        <v>294.73</v>
      </c>
      <c r="W7" s="7">
        <v>85.47</v>
      </c>
      <c r="X7" s="6">
        <v>14</v>
      </c>
      <c r="Y7" s="7">
        <v>2</v>
      </c>
      <c r="Z7" s="79"/>
      <c r="AA7" s="80"/>
      <c r="AB7" s="296"/>
      <c r="AC7" s="339"/>
      <c r="AD7" s="34">
        <v>36.85</v>
      </c>
      <c r="AE7" s="7">
        <v>14.89</v>
      </c>
      <c r="AF7" s="6"/>
      <c r="AG7" s="7">
        <v>0.45</v>
      </c>
      <c r="AH7" s="6">
        <v>2E-3</v>
      </c>
      <c r="AI7" s="7"/>
      <c r="AJ7" s="6"/>
      <c r="AK7" s="7"/>
      <c r="AL7" s="92"/>
      <c r="AM7" s="86"/>
      <c r="AN7" s="823">
        <v>5</v>
      </c>
      <c r="AO7" s="824"/>
      <c r="AP7" s="820">
        <v>24.68</v>
      </c>
      <c r="AQ7" s="87">
        <v>1.55</v>
      </c>
      <c r="AR7" s="88"/>
      <c r="AS7" s="89"/>
      <c r="AT7" s="296"/>
      <c r="AU7" s="1065"/>
      <c r="AV7" s="279">
        <f t="shared" si="0"/>
        <v>521.89200000000005</v>
      </c>
      <c r="AW7" s="1066">
        <f t="shared" si="1"/>
        <v>138.01</v>
      </c>
      <c r="AX7" s="88">
        <v>3.16</v>
      </c>
      <c r="AY7" s="89"/>
      <c r="AZ7" s="76">
        <f t="shared" si="2"/>
        <v>525.05200000000002</v>
      </c>
      <c r="BA7" s="84">
        <f t="shared" si="3"/>
        <v>138.01</v>
      </c>
    </row>
    <row r="8" spans="1:53" s="85" customFormat="1">
      <c r="A8" s="93" t="s">
        <v>6</v>
      </c>
      <c r="B8" s="34">
        <v>23.55</v>
      </c>
      <c r="C8" s="86">
        <v>18.059999999999999</v>
      </c>
      <c r="D8" s="6">
        <v>3.26</v>
      </c>
      <c r="E8" s="8">
        <v>2.75</v>
      </c>
      <c r="F8" s="6">
        <v>2.29</v>
      </c>
      <c r="G8" s="7">
        <v>5.57</v>
      </c>
      <c r="H8" s="6">
        <v>12</v>
      </c>
      <c r="I8" s="8">
        <v>13</v>
      </c>
      <c r="J8" s="34"/>
      <c r="K8" s="7"/>
      <c r="L8" s="6">
        <v>0.2</v>
      </c>
      <c r="M8" s="7"/>
      <c r="N8" s="6">
        <v>10.08</v>
      </c>
      <c r="O8" s="7">
        <v>3.4</v>
      </c>
      <c r="P8" s="6">
        <v>1.17</v>
      </c>
      <c r="Q8" s="7">
        <v>1.4</v>
      </c>
      <c r="R8" s="6">
        <v>10.91</v>
      </c>
      <c r="S8" s="8">
        <v>3.02</v>
      </c>
      <c r="T8" s="6">
        <v>5.31</v>
      </c>
      <c r="U8" s="8">
        <v>2.5299999999999998</v>
      </c>
      <c r="V8" s="6">
        <v>46.5</v>
      </c>
      <c r="W8" s="7">
        <v>12.98</v>
      </c>
      <c r="X8" s="6">
        <v>62</v>
      </c>
      <c r="Y8" s="7">
        <v>40</v>
      </c>
      <c r="Z8" s="79"/>
      <c r="AA8" s="80"/>
      <c r="AB8" s="296">
        <v>4.74</v>
      </c>
      <c r="AC8" s="339">
        <v>2.58</v>
      </c>
      <c r="AD8" s="34">
        <v>31.28</v>
      </c>
      <c r="AE8" s="7">
        <v>8.89</v>
      </c>
      <c r="AF8" s="6">
        <v>9.08</v>
      </c>
      <c r="AG8" s="7">
        <v>12.96</v>
      </c>
      <c r="AH8" s="6">
        <v>16.72</v>
      </c>
      <c r="AI8" s="7">
        <v>6.2</v>
      </c>
      <c r="AJ8" s="6"/>
      <c r="AK8" s="7">
        <v>0.03</v>
      </c>
      <c r="AL8" s="92"/>
      <c r="AM8" s="86"/>
      <c r="AN8" s="823">
        <v>11</v>
      </c>
      <c r="AO8" s="824">
        <v>18</v>
      </c>
      <c r="AP8" s="820">
        <v>0.35</v>
      </c>
      <c r="AQ8" s="87"/>
      <c r="AR8" s="88">
        <v>0.15</v>
      </c>
      <c r="AS8" s="89">
        <v>1.05</v>
      </c>
      <c r="AT8" s="296">
        <v>7.57</v>
      </c>
      <c r="AU8" s="1065">
        <v>3.24</v>
      </c>
      <c r="AV8" s="279">
        <f t="shared" si="0"/>
        <v>270.57</v>
      </c>
      <c r="AW8" s="1066">
        <f t="shared" si="1"/>
        <v>169.3</v>
      </c>
      <c r="AX8" s="88">
        <v>4.45</v>
      </c>
      <c r="AY8" s="89"/>
      <c r="AZ8" s="76">
        <f t="shared" si="2"/>
        <v>275.02</v>
      </c>
      <c r="BA8" s="84">
        <f t="shared" si="3"/>
        <v>169.3</v>
      </c>
    </row>
    <row r="9" spans="1:53" s="85" customFormat="1">
      <c r="A9" s="93" t="s">
        <v>7</v>
      </c>
      <c r="B9" s="34"/>
      <c r="C9" s="86"/>
      <c r="D9" s="6"/>
      <c r="E9" s="8"/>
      <c r="F9" s="6"/>
      <c r="G9" s="7"/>
      <c r="H9" s="6">
        <v>14</v>
      </c>
      <c r="I9" s="8">
        <v>2</v>
      </c>
      <c r="J9" s="34"/>
      <c r="K9" s="7"/>
      <c r="L9" s="6"/>
      <c r="M9" s="7"/>
      <c r="N9" s="6">
        <v>4.6100000000000003</v>
      </c>
      <c r="O9" s="7">
        <v>0.47</v>
      </c>
      <c r="P9" s="6"/>
      <c r="Q9" s="7"/>
      <c r="R9" s="6"/>
      <c r="S9" s="8"/>
      <c r="T9" s="6"/>
      <c r="U9" s="8"/>
      <c r="V9" s="6">
        <v>0.94</v>
      </c>
      <c r="W9" s="7">
        <v>0.12</v>
      </c>
      <c r="X9" s="6"/>
      <c r="Y9" s="7"/>
      <c r="Z9" s="79"/>
      <c r="AA9" s="80"/>
      <c r="AB9" s="296"/>
      <c r="AC9" s="339"/>
      <c r="AD9" s="34">
        <v>26.52</v>
      </c>
      <c r="AE9" s="7">
        <v>10.73</v>
      </c>
      <c r="AF9" s="6"/>
      <c r="AG9" s="7"/>
      <c r="AH9" s="6"/>
      <c r="AI9" s="7"/>
      <c r="AJ9" s="6"/>
      <c r="AK9" s="7"/>
      <c r="AL9" s="92"/>
      <c r="AM9" s="86"/>
      <c r="AN9" s="825"/>
      <c r="AO9" s="1062"/>
      <c r="AP9" s="820"/>
      <c r="AQ9" s="87"/>
      <c r="AR9" s="88"/>
      <c r="AS9" s="89"/>
      <c r="AT9" s="296"/>
      <c r="AU9" s="1065"/>
      <c r="AV9" s="279">
        <f t="shared" si="0"/>
        <v>46.07</v>
      </c>
      <c r="AW9" s="1066">
        <f t="shared" si="1"/>
        <v>13.32</v>
      </c>
      <c r="AX9" s="88"/>
      <c r="AY9" s="89"/>
      <c r="AZ9" s="76">
        <f t="shared" si="2"/>
        <v>46.07</v>
      </c>
      <c r="BA9" s="84">
        <f t="shared" si="3"/>
        <v>13.32</v>
      </c>
    </row>
    <row r="10" spans="1:53" s="85" customFormat="1">
      <c r="A10" s="93" t="s">
        <v>8</v>
      </c>
      <c r="B10" s="34">
        <v>144.16999999999999</v>
      </c>
      <c r="C10" s="86">
        <v>551.16</v>
      </c>
      <c r="D10" s="6">
        <v>0.77</v>
      </c>
      <c r="E10" s="8">
        <v>0.57999999999999996</v>
      </c>
      <c r="F10" s="6">
        <v>16.89</v>
      </c>
      <c r="G10" s="7">
        <v>11.32</v>
      </c>
      <c r="H10" s="6">
        <v>392</v>
      </c>
      <c r="I10" s="8">
        <v>330</v>
      </c>
      <c r="J10" s="34">
        <v>59</v>
      </c>
      <c r="K10" s="7">
        <v>13</v>
      </c>
      <c r="L10" s="6">
        <v>172.62</v>
      </c>
      <c r="M10" s="7">
        <v>183.19</v>
      </c>
      <c r="N10" s="6">
        <v>63.78</v>
      </c>
      <c r="O10" s="7">
        <v>5.96</v>
      </c>
      <c r="P10" s="6">
        <v>8.0500000000000007</v>
      </c>
      <c r="Q10" s="7">
        <v>1.86</v>
      </c>
      <c r="R10" s="6">
        <v>1.37</v>
      </c>
      <c r="S10" s="8">
        <v>4.3</v>
      </c>
      <c r="T10" s="6">
        <v>74.86</v>
      </c>
      <c r="U10" s="8">
        <v>8.58</v>
      </c>
      <c r="V10" s="6">
        <v>1388.5</v>
      </c>
      <c r="W10" s="7">
        <v>759.56</v>
      </c>
      <c r="X10" s="6">
        <v>531</v>
      </c>
      <c r="Y10" s="7">
        <v>630</v>
      </c>
      <c r="Z10" s="79">
        <v>1.49</v>
      </c>
      <c r="AA10" s="80">
        <v>0.75</v>
      </c>
      <c r="AB10" s="296">
        <v>272.04000000000002</v>
      </c>
      <c r="AC10" s="339">
        <v>93.05</v>
      </c>
      <c r="AD10" s="90">
        <v>497.62</v>
      </c>
      <c r="AE10" s="91">
        <v>161.58000000000001</v>
      </c>
      <c r="AF10" s="6">
        <v>1307</v>
      </c>
      <c r="AG10" s="7">
        <v>6.16</v>
      </c>
      <c r="AH10" s="6">
        <v>7.95</v>
      </c>
      <c r="AI10" s="7">
        <v>6.04</v>
      </c>
      <c r="AJ10" s="6">
        <v>13.87</v>
      </c>
      <c r="AK10" s="7">
        <v>6.34</v>
      </c>
      <c r="AL10" s="92"/>
      <c r="AM10" s="86"/>
      <c r="AN10" s="823">
        <v>711</v>
      </c>
      <c r="AO10" s="824">
        <v>1270</v>
      </c>
      <c r="AP10" s="820">
        <v>26.83</v>
      </c>
      <c r="AQ10" s="87">
        <v>5.78</v>
      </c>
      <c r="AR10" s="88">
        <v>0.08</v>
      </c>
      <c r="AS10" s="89">
        <v>0.47</v>
      </c>
      <c r="AT10" s="296">
        <v>13.55</v>
      </c>
      <c r="AU10" s="1065">
        <v>17.239999999999998</v>
      </c>
      <c r="AV10" s="279">
        <f t="shared" si="0"/>
        <v>5571.07</v>
      </c>
      <c r="AW10" s="1066">
        <f t="shared" si="1"/>
        <v>4509.6499999999996</v>
      </c>
      <c r="AX10" s="6">
        <v>34689.58</v>
      </c>
      <c r="AY10" s="7"/>
      <c r="AZ10" s="76">
        <f t="shared" si="2"/>
        <v>40260.65</v>
      </c>
      <c r="BA10" s="84">
        <f t="shared" si="3"/>
        <v>4509.6499999999996</v>
      </c>
    </row>
    <row r="11" spans="1:53" s="85" customFormat="1">
      <c r="A11" s="93" t="s">
        <v>9</v>
      </c>
      <c r="B11" s="76"/>
      <c r="C11" s="1059"/>
      <c r="D11" s="6"/>
      <c r="E11" s="8"/>
      <c r="F11" s="6"/>
      <c r="G11" s="7"/>
      <c r="H11" s="6"/>
      <c r="I11" s="8"/>
      <c r="J11" s="34"/>
      <c r="K11" s="7"/>
      <c r="L11" s="6"/>
      <c r="M11" s="7"/>
      <c r="N11" s="6"/>
      <c r="O11" s="7"/>
      <c r="P11" s="6"/>
      <c r="Q11" s="7"/>
      <c r="R11" s="6"/>
      <c r="S11" s="8"/>
      <c r="T11" s="6"/>
      <c r="U11" s="8"/>
      <c r="V11" s="6"/>
      <c r="W11" s="7"/>
      <c r="X11" s="6"/>
      <c r="Y11" s="7"/>
      <c r="Z11" s="79"/>
      <c r="AA11" s="80"/>
      <c r="AB11" s="296"/>
      <c r="AC11" s="339"/>
      <c r="AD11" s="90"/>
      <c r="AE11" s="91"/>
      <c r="AF11" s="6"/>
      <c r="AG11" s="7"/>
      <c r="AH11" s="6"/>
      <c r="AI11" s="7"/>
      <c r="AJ11" s="6"/>
      <c r="AK11" s="7"/>
      <c r="AL11" s="92"/>
      <c r="AM11" s="86"/>
      <c r="AN11" s="1061"/>
      <c r="AO11" s="1063"/>
      <c r="AP11" s="820"/>
      <c r="AQ11" s="87"/>
      <c r="AR11" s="88"/>
      <c r="AS11" s="89"/>
      <c r="AT11" s="6"/>
      <c r="AU11" s="86"/>
      <c r="AV11" s="279">
        <f t="shared" si="0"/>
        <v>0</v>
      </c>
      <c r="AW11" s="1066">
        <f t="shared" si="1"/>
        <v>0</v>
      </c>
      <c r="AX11" s="6"/>
      <c r="AY11" s="7"/>
      <c r="AZ11" s="76">
        <f t="shared" si="2"/>
        <v>0</v>
      </c>
      <c r="BA11" s="84">
        <f t="shared" si="3"/>
        <v>0</v>
      </c>
    </row>
    <row r="12" spans="1:53" s="386" customFormat="1">
      <c r="A12" s="374" t="s">
        <v>10</v>
      </c>
      <c r="B12" s="378">
        <f>SUM(B5:B11)</f>
        <v>187.71999999999997</v>
      </c>
      <c r="C12" s="381">
        <f>SUM(C5:C11)</f>
        <v>588.55999999999995</v>
      </c>
      <c r="D12" s="378">
        <f t="shared" ref="D12:Q12" si="4">SUM(D5:D11)</f>
        <v>4.0299999999999994</v>
      </c>
      <c r="E12" s="380">
        <f t="shared" si="4"/>
        <v>4.0199999999999996</v>
      </c>
      <c r="F12" s="378">
        <f t="shared" si="4"/>
        <v>19.180199999999999</v>
      </c>
      <c r="G12" s="379">
        <f t="shared" si="4"/>
        <v>16.93</v>
      </c>
      <c r="H12" s="378">
        <f t="shared" si="4"/>
        <v>667</v>
      </c>
      <c r="I12" s="380">
        <f t="shared" si="4"/>
        <v>397</v>
      </c>
      <c r="J12" s="379">
        <f t="shared" si="4"/>
        <v>60</v>
      </c>
      <c r="K12" s="379">
        <f t="shared" si="4"/>
        <v>15.1</v>
      </c>
      <c r="L12" s="378">
        <f t="shared" si="4"/>
        <v>250.86</v>
      </c>
      <c r="M12" s="379">
        <f t="shared" si="4"/>
        <v>292.3</v>
      </c>
      <c r="N12" s="378">
        <f t="shared" si="4"/>
        <v>102.63</v>
      </c>
      <c r="O12" s="382">
        <f t="shared" si="4"/>
        <v>9.5500000000000007</v>
      </c>
      <c r="P12" s="378">
        <f t="shared" si="4"/>
        <v>9.2200000000000006</v>
      </c>
      <c r="Q12" s="379">
        <f t="shared" si="4"/>
        <v>3.74</v>
      </c>
      <c r="R12" s="378">
        <f t="shared" ref="R12:AG12" si="5">SUM(R5:R11)</f>
        <v>12.330000000000002</v>
      </c>
      <c r="S12" s="384">
        <f t="shared" si="5"/>
        <v>7.3699999999999992</v>
      </c>
      <c r="T12" s="378">
        <f t="shared" si="5"/>
        <v>92.78</v>
      </c>
      <c r="U12" s="380">
        <f t="shared" si="5"/>
        <v>10.36</v>
      </c>
      <c r="V12" s="378">
        <f t="shared" si="5"/>
        <v>1988.9</v>
      </c>
      <c r="W12" s="379">
        <f t="shared" si="5"/>
        <v>1078.8699999999999</v>
      </c>
      <c r="X12" s="378">
        <f t="shared" si="5"/>
        <v>753</v>
      </c>
      <c r="Y12" s="379">
        <f t="shared" si="5"/>
        <v>696</v>
      </c>
      <c r="Z12" s="378">
        <f t="shared" si="5"/>
        <v>30.04</v>
      </c>
      <c r="AA12" s="379">
        <f t="shared" si="5"/>
        <v>7.08</v>
      </c>
      <c r="AB12" s="378">
        <f t="shared" si="5"/>
        <v>304.36</v>
      </c>
      <c r="AC12" s="382">
        <f t="shared" si="5"/>
        <v>112.16</v>
      </c>
      <c r="AD12" s="379">
        <f t="shared" si="5"/>
        <v>637.92000000000007</v>
      </c>
      <c r="AE12" s="379">
        <f t="shared" si="5"/>
        <v>210.31</v>
      </c>
      <c r="AF12" s="378">
        <f t="shared" si="5"/>
        <v>1378.96</v>
      </c>
      <c r="AG12" s="379">
        <f t="shared" si="5"/>
        <v>39.739999999999995</v>
      </c>
      <c r="AH12" s="378">
        <f t="shared" ref="AH12:AU12" si="6">SUM(AH5:AH11)</f>
        <v>82.682000000000002</v>
      </c>
      <c r="AI12" s="379">
        <f t="shared" si="6"/>
        <v>37.58</v>
      </c>
      <c r="AJ12" s="378">
        <f t="shared" si="6"/>
        <v>13.87</v>
      </c>
      <c r="AK12" s="379">
        <f t="shared" si="6"/>
        <v>6.37</v>
      </c>
      <c r="AL12" s="378">
        <f t="shared" si="6"/>
        <v>0</v>
      </c>
      <c r="AM12" s="381">
        <f t="shared" si="6"/>
        <v>0</v>
      </c>
      <c r="AN12" s="378">
        <f t="shared" si="6"/>
        <v>1283</v>
      </c>
      <c r="AO12" s="384">
        <f t="shared" si="6"/>
        <v>1721</v>
      </c>
      <c r="AP12" s="379">
        <f t="shared" si="6"/>
        <v>51.86</v>
      </c>
      <c r="AQ12" s="379">
        <f t="shared" si="6"/>
        <v>7.33</v>
      </c>
      <c r="AR12" s="378">
        <f t="shared" si="6"/>
        <v>21.099999999999998</v>
      </c>
      <c r="AS12" s="379">
        <f t="shared" si="6"/>
        <v>35.372</v>
      </c>
      <c r="AT12" s="378">
        <f t="shared" si="6"/>
        <v>22.340000000000003</v>
      </c>
      <c r="AU12" s="383">
        <f t="shared" si="6"/>
        <v>20.869999999999997</v>
      </c>
      <c r="AV12" s="279">
        <f t="shared" si="0"/>
        <v>7844.0222000000003</v>
      </c>
      <c r="AW12" s="1066">
        <f t="shared" si="1"/>
        <v>5776.8819999999996</v>
      </c>
      <c r="AX12" s="385">
        <f>SUM(AX5:AX11)</f>
        <v>35646.51</v>
      </c>
      <c r="AY12" s="385">
        <f>SUM(AY5:AY11)</f>
        <v>0</v>
      </c>
      <c r="AZ12" s="378">
        <f t="shared" si="2"/>
        <v>43490.532200000001</v>
      </c>
      <c r="BA12" s="384">
        <f t="shared" si="3"/>
        <v>5776.8819999999996</v>
      </c>
    </row>
    <row r="13" spans="1:53" s="85" customFormat="1">
      <c r="A13" s="93" t="s">
        <v>11</v>
      </c>
      <c r="B13" s="295"/>
      <c r="C13" s="1060"/>
      <c r="D13" s="6"/>
      <c r="E13" s="8"/>
      <c r="F13" s="6"/>
      <c r="G13" s="7"/>
      <c r="H13" s="6"/>
      <c r="I13" s="8"/>
      <c r="J13" s="34"/>
      <c r="K13" s="7"/>
      <c r="L13" s="6"/>
      <c r="M13" s="7"/>
      <c r="N13" s="6"/>
      <c r="O13" s="7"/>
      <c r="P13" s="6"/>
      <c r="Q13" s="7"/>
      <c r="R13" s="9"/>
      <c r="S13" s="11"/>
      <c r="T13" s="9"/>
      <c r="U13" s="11"/>
      <c r="V13" s="9"/>
      <c r="W13" s="10"/>
      <c r="X13" s="9"/>
      <c r="Y13" s="10"/>
      <c r="Z13" s="9"/>
      <c r="AA13" s="10"/>
      <c r="AB13" s="296"/>
      <c r="AC13" s="339"/>
      <c r="AD13" s="34"/>
      <c r="AE13" s="7"/>
      <c r="AF13" s="6"/>
      <c r="AG13" s="7"/>
      <c r="AH13" s="6"/>
      <c r="AI13" s="7">
        <v>3.0000000000000001E-3</v>
      </c>
      <c r="AJ13" s="6"/>
      <c r="AK13" s="7"/>
      <c r="AL13" s="92"/>
      <c r="AM13" s="86"/>
      <c r="AN13" s="825"/>
      <c r="AO13" s="1062"/>
      <c r="AP13" s="820"/>
      <c r="AQ13" s="87"/>
      <c r="AR13" s="88"/>
      <c r="AS13" s="89"/>
      <c r="AT13" s="6"/>
      <c r="AU13" s="86"/>
      <c r="AV13" s="279">
        <f t="shared" si="0"/>
        <v>0</v>
      </c>
      <c r="AW13" s="1066">
        <f t="shared" si="1"/>
        <v>3.0000000000000001E-3</v>
      </c>
      <c r="AX13" s="88"/>
      <c r="AY13" s="89"/>
      <c r="AZ13" s="76">
        <f t="shared" si="2"/>
        <v>0</v>
      </c>
      <c r="BA13" s="84">
        <f t="shared" si="3"/>
        <v>3.0000000000000001E-3</v>
      </c>
    </row>
    <row r="14" spans="1:53" s="386" customFormat="1" ht="14.25" thickBot="1">
      <c r="A14" s="376" t="s">
        <v>12</v>
      </c>
      <c r="B14" s="387">
        <f>B12+B13</f>
        <v>187.71999999999997</v>
      </c>
      <c r="C14" s="390">
        <f t="shared" ref="C14:AH14" si="7">C12+C13</f>
        <v>588.55999999999995</v>
      </c>
      <c r="D14" s="387">
        <f t="shared" si="7"/>
        <v>4.0299999999999994</v>
      </c>
      <c r="E14" s="389">
        <f t="shared" si="7"/>
        <v>4.0199999999999996</v>
      </c>
      <c r="F14" s="387">
        <f t="shared" si="7"/>
        <v>19.180199999999999</v>
      </c>
      <c r="G14" s="388">
        <f t="shared" si="7"/>
        <v>16.93</v>
      </c>
      <c r="H14" s="387">
        <f t="shared" si="7"/>
        <v>667</v>
      </c>
      <c r="I14" s="389">
        <f t="shared" si="7"/>
        <v>397</v>
      </c>
      <c r="J14" s="388">
        <f t="shared" si="7"/>
        <v>60</v>
      </c>
      <c r="K14" s="388">
        <f t="shared" si="7"/>
        <v>15.1</v>
      </c>
      <c r="L14" s="387">
        <f t="shared" si="7"/>
        <v>250.86</v>
      </c>
      <c r="M14" s="388">
        <f t="shared" si="7"/>
        <v>292.3</v>
      </c>
      <c r="N14" s="387">
        <f t="shared" si="7"/>
        <v>102.63</v>
      </c>
      <c r="O14" s="391">
        <f t="shared" si="7"/>
        <v>9.5500000000000007</v>
      </c>
      <c r="P14" s="387">
        <f>P12+P13</f>
        <v>9.2200000000000006</v>
      </c>
      <c r="Q14" s="388">
        <f>Q12+Q13</f>
        <v>3.74</v>
      </c>
      <c r="R14" s="387">
        <f t="shared" si="7"/>
        <v>12.330000000000002</v>
      </c>
      <c r="S14" s="393">
        <f t="shared" si="7"/>
        <v>7.3699999999999992</v>
      </c>
      <c r="T14" s="387">
        <f t="shared" si="7"/>
        <v>92.78</v>
      </c>
      <c r="U14" s="389">
        <f t="shared" si="7"/>
        <v>10.36</v>
      </c>
      <c r="V14" s="387">
        <f t="shared" si="7"/>
        <v>1988.9</v>
      </c>
      <c r="W14" s="388">
        <f t="shared" si="7"/>
        <v>1078.8699999999999</v>
      </c>
      <c r="X14" s="387">
        <f t="shared" si="7"/>
        <v>753</v>
      </c>
      <c r="Y14" s="388">
        <f t="shared" si="7"/>
        <v>696</v>
      </c>
      <c r="Z14" s="387">
        <f t="shared" si="7"/>
        <v>30.04</v>
      </c>
      <c r="AA14" s="388">
        <f t="shared" si="7"/>
        <v>7.08</v>
      </c>
      <c r="AB14" s="387">
        <f t="shared" si="7"/>
        <v>304.36</v>
      </c>
      <c r="AC14" s="391">
        <f t="shared" si="7"/>
        <v>112.16</v>
      </c>
      <c r="AD14" s="388">
        <f t="shared" si="7"/>
        <v>637.92000000000007</v>
      </c>
      <c r="AE14" s="388">
        <f t="shared" si="7"/>
        <v>210.31</v>
      </c>
      <c r="AF14" s="387">
        <f t="shared" si="7"/>
        <v>1378.96</v>
      </c>
      <c r="AG14" s="388">
        <f t="shared" si="7"/>
        <v>39.739999999999995</v>
      </c>
      <c r="AH14" s="387">
        <f t="shared" si="7"/>
        <v>82.682000000000002</v>
      </c>
      <c r="AI14" s="388">
        <f t="shared" ref="AI14:AU14" si="8">AI12+AI13</f>
        <v>37.582999999999998</v>
      </c>
      <c r="AJ14" s="387">
        <f t="shared" si="8"/>
        <v>13.87</v>
      </c>
      <c r="AK14" s="388">
        <f t="shared" si="8"/>
        <v>6.37</v>
      </c>
      <c r="AL14" s="387">
        <f t="shared" si="8"/>
        <v>0</v>
      </c>
      <c r="AM14" s="390">
        <f t="shared" si="8"/>
        <v>0</v>
      </c>
      <c r="AN14" s="387">
        <f t="shared" si="8"/>
        <v>1283</v>
      </c>
      <c r="AO14" s="393">
        <f t="shared" si="8"/>
        <v>1721</v>
      </c>
      <c r="AP14" s="388">
        <f t="shared" si="8"/>
        <v>51.86</v>
      </c>
      <c r="AQ14" s="388">
        <f t="shared" si="8"/>
        <v>7.33</v>
      </c>
      <c r="AR14" s="387">
        <f t="shared" si="8"/>
        <v>21.099999999999998</v>
      </c>
      <c r="AS14" s="388">
        <f t="shared" si="8"/>
        <v>35.372</v>
      </c>
      <c r="AT14" s="387">
        <f t="shared" si="8"/>
        <v>22.340000000000003</v>
      </c>
      <c r="AU14" s="392">
        <f t="shared" si="8"/>
        <v>20.869999999999997</v>
      </c>
      <c r="AV14" s="1067">
        <f t="shared" si="0"/>
        <v>7844.0222000000003</v>
      </c>
      <c r="AW14" s="1068">
        <f t="shared" si="1"/>
        <v>5776.8849999999984</v>
      </c>
      <c r="AX14" s="394">
        <f>AX12+AX13</f>
        <v>35646.51</v>
      </c>
      <c r="AY14" s="394">
        <f>AY12+AY13</f>
        <v>0</v>
      </c>
      <c r="AZ14" s="387">
        <f t="shared" si="2"/>
        <v>43490.532200000001</v>
      </c>
      <c r="BA14" s="393">
        <f t="shared" si="3"/>
        <v>5776.8849999999984</v>
      </c>
    </row>
  </sheetData>
  <mergeCells count="29">
    <mergeCell ref="AH3:AI3"/>
    <mergeCell ref="AX3:AY3"/>
    <mergeCell ref="AZ3:BA3"/>
    <mergeCell ref="AJ3:AK3"/>
    <mergeCell ref="AL3:AM3"/>
    <mergeCell ref="AN3:AO3"/>
    <mergeCell ref="AP3:AQ3"/>
    <mergeCell ref="AT3:AU3"/>
    <mergeCell ref="AV3:AW3"/>
    <mergeCell ref="AR3:AS3"/>
    <mergeCell ref="R3:S3"/>
    <mergeCell ref="T3:U3"/>
    <mergeCell ref="F3:G3"/>
    <mergeCell ref="H3:I3"/>
    <mergeCell ref="J3:K3"/>
    <mergeCell ref="L3:M3"/>
    <mergeCell ref="X3:Y3"/>
    <mergeCell ref="Z3:AA3"/>
    <mergeCell ref="V3:W3"/>
    <mergeCell ref="B3:C3"/>
    <mergeCell ref="D3:E3"/>
    <mergeCell ref="AB3:AC3"/>
    <mergeCell ref="AD3:AE3"/>
    <mergeCell ref="AF3:AG3"/>
    <mergeCell ref="A1:BA1"/>
    <mergeCell ref="A2:BA2"/>
    <mergeCell ref="A3:A4"/>
    <mergeCell ref="N3:O3"/>
    <mergeCell ref="P3:Q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14"/>
  <sheetViews>
    <sheetView workbookViewId="0">
      <pane xSplit="1" topLeftCell="AT1" activePane="topRight" state="frozen"/>
      <selection pane="topRight" activeCell="AU11" sqref="AU11"/>
    </sheetView>
    <sheetView workbookViewId="1">
      <selection sqref="A1:BA1"/>
    </sheetView>
  </sheetViews>
  <sheetFormatPr defaultRowHeight="14.25"/>
  <cols>
    <col min="1" max="1" width="23.42578125" style="13" customWidth="1"/>
    <col min="2" max="3" width="11.7109375" style="13" bestFit="1" customWidth="1"/>
    <col min="4" max="4" width="9.5703125" style="13" customWidth="1"/>
    <col min="5" max="5" width="9.85546875" style="13" customWidth="1"/>
    <col min="6" max="7" width="11.7109375" style="13" bestFit="1" customWidth="1"/>
    <col min="8" max="8" width="9.140625" style="13" customWidth="1"/>
    <col min="9" max="9" width="11.7109375" style="13" bestFit="1" customWidth="1"/>
    <col min="10" max="10" width="8.85546875" style="13" customWidth="1"/>
    <col min="11" max="11" width="9" style="13" customWidth="1"/>
    <col min="12" max="13" width="11.7109375" style="13" bestFit="1" customWidth="1"/>
    <col min="14" max="14" width="9" style="13" customWidth="1"/>
    <col min="15" max="15" width="11" style="13" customWidth="1"/>
    <col min="16" max="16" width="10.42578125" style="39" customWidth="1"/>
    <col min="17" max="17" width="11.7109375" style="39" bestFit="1" customWidth="1"/>
    <col min="18" max="25" width="11.7109375" style="13" bestFit="1" customWidth="1"/>
    <col min="26" max="27" width="11.7109375" style="39" bestFit="1" customWidth="1"/>
    <col min="28" max="31" width="11.7109375" style="13" bestFit="1" customWidth="1"/>
    <col min="32" max="32" width="9.42578125" style="13" customWidth="1"/>
    <col min="33" max="33" width="9.28515625" style="13" customWidth="1"/>
    <col min="34" max="35" width="11.7109375" style="13" bestFit="1" customWidth="1"/>
    <col min="36" max="36" width="9.42578125" style="13" customWidth="1"/>
    <col min="37" max="37" width="8" style="13" customWidth="1"/>
    <col min="38" max="39" width="11.7109375" style="13" bestFit="1" customWidth="1"/>
    <col min="40" max="40" width="8.28515625" style="13" customWidth="1"/>
    <col min="41" max="41" width="11.7109375" style="13" bestFit="1" customWidth="1"/>
    <col min="42" max="42" width="8.7109375" style="13" customWidth="1"/>
    <col min="43" max="43" width="9.28515625" style="13" customWidth="1"/>
    <col min="44" max="44" width="8" style="13" customWidth="1"/>
    <col min="45" max="45" width="9.140625" style="13" customWidth="1"/>
    <col min="46" max="47" width="8.28515625" style="13" customWidth="1"/>
    <col min="48" max="53" width="11.7109375" style="13" bestFit="1" customWidth="1"/>
    <col min="54" max="16384" width="9.140625" style="13"/>
  </cols>
  <sheetData>
    <row r="1" spans="1:53">
      <c r="A1" s="1299" t="s">
        <v>13</v>
      </c>
      <c r="B1" s="1299"/>
      <c r="C1" s="1299"/>
      <c r="D1" s="1299"/>
      <c r="E1" s="1299"/>
      <c r="F1" s="1299"/>
      <c r="G1" s="1299"/>
      <c r="H1" s="1299"/>
      <c r="I1" s="1299"/>
      <c r="J1" s="1299"/>
      <c r="K1" s="1299"/>
      <c r="L1" s="1299"/>
      <c r="M1" s="1299"/>
      <c r="N1" s="1299"/>
      <c r="O1" s="1299"/>
      <c r="P1" s="1299"/>
      <c r="Q1" s="1299"/>
      <c r="R1" s="1299"/>
      <c r="S1" s="1299"/>
      <c r="T1" s="1299"/>
      <c r="U1" s="1299"/>
      <c r="V1" s="1299"/>
      <c r="W1" s="1299"/>
      <c r="X1" s="1299"/>
      <c r="Y1" s="1299"/>
      <c r="Z1" s="1299"/>
      <c r="AA1" s="1299"/>
      <c r="AB1" s="1299"/>
      <c r="AC1" s="1299"/>
      <c r="AD1" s="1299"/>
      <c r="AE1" s="1299"/>
      <c r="AF1" s="1299"/>
      <c r="AG1" s="1299"/>
      <c r="AH1" s="1299"/>
      <c r="AI1" s="1299"/>
      <c r="AJ1" s="1299"/>
      <c r="AK1" s="1299"/>
      <c r="AL1" s="1299"/>
      <c r="AM1" s="1299"/>
      <c r="AN1" s="1299"/>
      <c r="AO1" s="1299"/>
      <c r="AP1" s="1299"/>
      <c r="AQ1" s="1299"/>
      <c r="AR1" s="1299"/>
      <c r="AS1" s="1299"/>
      <c r="AT1" s="1299"/>
      <c r="AU1" s="1299"/>
      <c r="AV1" s="1299"/>
      <c r="AW1" s="1299"/>
      <c r="AX1" s="1299"/>
      <c r="AY1" s="1299"/>
      <c r="AZ1" s="1299"/>
      <c r="BA1" s="1299"/>
    </row>
    <row r="2" spans="1:53" ht="15" thickBot="1">
      <c r="A2" s="1256"/>
      <c r="B2" s="1256"/>
      <c r="C2" s="1256"/>
      <c r="D2" s="1256"/>
      <c r="E2" s="1256"/>
      <c r="F2" s="1256"/>
      <c r="G2" s="1256"/>
      <c r="H2" s="1256"/>
      <c r="I2" s="1256"/>
      <c r="J2" s="1256"/>
      <c r="K2" s="1256"/>
      <c r="L2" s="1256"/>
      <c r="M2" s="1256"/>
      <c r="N2" s="1256"/>
      <c r="O2" s="1256"/>
      <c r="P2" s="1256"/>
      <c r="Q2" s="1256"/>
      <c r="R2" s="1256"/>
      <c r="S2" s="1256"/>
      <c r="T2" s="1256"/>
      <c r="U2" s="1256"/>
      <c r="V2" s="1256"/>
      <c r="W2" s="1256"/>
      <c r="X2" s="1256"/>
      <c r="Y2" s="1256"/>
      <c r="Z2" s="1256"/>
      <c r="AA2" s="1256"/>
      <c r="AB2" s="1256"/>
      <c r="AC2" s="1256"/>
      <c r="AD2" s="1256"/>
      <c r="AE2" s="1256"/>
      <c r="AF2" s="1256"/>
      <c r="AG2" s="1256"/>
      <c r="AH2" s="1256"/>
      <c r="AI2" s="1256"/>
      <c r="AJ2" s="1256"/>
      <c r="AK2" s="1256"/>
      <c r="AL2" s="1256"/>
      <c r="AM2" s="1256"/>
      <c r="AN2" s="1256"/>
      <c r="AO2" s="1256"/>
      <c r="AP2" s="1256"/>
      <c r="AQ2" s="1256"/>
      <c r="AR2" s="1256"/>
      <c r="AS2" s="1256"/>
      <c r="AT2" s="1256"/>
      <c r="AU2" s="1256"/>
      <c r="AV2" s="1256"/>
      <c r="AW2" s="1256"/>
      <c r="AX2" s="1256"/>
      <c r="AY2" s="1256"/>
      <c r="AZ2" s="1256"/>
      <c r="BA2" s="1256"/>
    </row>
    <row r="3" spans="1:53" s="1072" customFormat="1" ht="44.25" customHeight="1">
      <c r="A3" s="1310" t="s">
        <v>0</v>
      </c>
      <c r="B3" s="1335" t="s">
        <v>164</v>
      </c>
      <c r="C3" s="1336"/>
      <c r="D3" s="1335" t="s">
        <v>165</v>
      </c>
      <c r="E3" s="1337"/>
      <c r="F3" s="1335" t="s">
        <v>166</v>
      </c>
      <c r="G3" s="1337"/>
      <c r="H3" s="1335" t="s">
        <v>167</v>
      </c>
      <c r="I3" s="1337"/>
      <c r="J3" s="1335" t="s">
        <v>168</v>
      </c>
      <c r="K3" s="1338"/>
      <c r="L3" s="1335" t="s">
        <v>169</v>
      </c>
      <c r="M3" s="1337"/>
      <c r="N3" s="1335" t="s">
        <v>371</v>
      </c>
      <c r="O3" s="1337"/>
      <c r="P3" s="1326" t="s">
        <v>171</v>
      </c>
      <c r="Q3" s="1327"/>
      <c r="R3" s="1330" t="s">
        <v>172</v>
      </c>
      <c r="S3" s="1323"/>
      <c r="T3" s="1322" t="s">
        <v>173</v>
      </c>
      <c r="U3" s="1323"/>
      <c r="V3" s="1322" t="s">
        <v>174</v>
      </c>
      <c r="W3" s="1323"/>
      <c r="X3" s="1322" t="s">
        <v>175</v>
      </c>
      <c r="Y3" s="1339"/>
      <c r="Z3" s="1324" t="s">
        <v>176</v>
      </c>
      <c r="AA3" s="1325"/>
      <c r="AB3" s="1330" t="s">
        <v>177</v>
      </c>
      <c r="AC3" s="1339"/>
      <c r="AD3" s="1340" t="s">
        <v>178</v>
      </c>
      <c r="AE3" s="1341"/>
      <c r="AF3" s="1330" t="s">
        <v>179</v>
      </c>
      <c r="AG3" s="1323"/>
      <c r="AH3" s="1322" t="s">
        <v>180</v>
      </c>
      <c r="AI3" s="1323"/>
      <c r="AJ3" s="1322" t="s">
        <v>181</v>
      </c>
      <c r="AK3" s="1323"/>
      <c r="AL3" s="1328" t="s">
        <v>182</v>
      </c>
      <c r="AM3" s="1329"/>
      <c r="AN3" s="1322" t="s">
        <v>183</v>
      </c>
      <c r="AO3" s="1323"/>
      <c r="AP3" s="1322" t="s">
        <v>184</v>
      </c>
      <c r="AQ3" s="1323"/>
      <c r="AR3" s="1322" t="s">
        <v>185</v>
      </c>
      <c r="AS3" s="1323"/>
      <c r="AT3" s="1322" t="s">
        <v>186</v>
      </c>
      <c r="AU3" s="1331"/>
      <c r="AV3" s="1330" t="s">
        <v>1</v>
      </c>
      <c r="AW3" s="1331"/>
      <c r="AX3" s="1332" t="s">
        <v>187</v>
      </c>
      <c r="AY3" s="1334"/>
      <c r="AZ3" s="1332" t="s">
        <v>2</v>
      </c>
      <c r="BA3" s="1333"/>
    </row>
    <row r="4" spans="1:53" s="375" customFormat="1" ht="15" thickBot="1">
      <c r="A4" s="1311"/>
      <c r="B4" s="473" t="s">
        <v>295</v>
      </c>
      <c r="C4" s="474" t="s">
        <v>363</v>
      </c>
      <c r="D4" s="473" t="s">
        <v>295</v>
      </c>
      <c r="E4" s="471" t="s">
        <v>363</v>
      </c>
      <c r="F4" s="473" t="s">
        <v>295</v>
      </c>
      <c r="G4" s="474" t="s">
        <v>363</v>
      </c>
      <c r="H4" s="473" t="s">
        <v>295</v>
      </c>
      <c r="I4" s="474" t="s">
        <v>363</v>
      </c>
      <c r="J4" s="473" t="s">
        <v>295</v>
      </c>
      <c r="K4" s="474" t="s">
        <v>363</v>
      </c>
      <c r="L4" s="473" t="s">
        <v>295</v>
      </c>
      <c r="M4" s="474" t="s">
        <v>363</v>
      </c>
      <c r="N4" s="473" t="s">
        <v>295</v>
      </c>
      <c r="O4" s="474" t="s">
        <v>363</v>
      </c>
      <c r="P4" s="473" t="s">
        <v>295</v>
      </c>
      <c r="Q4" s="474" t="s">
        <v>363</v>
      </c>
      <c r="R4" s="473" t="s">
        <v>295</v>
      </c>
      <c r="S4" s="474" t="s">
        <v>363</v>
      </c>
      <c r="T4" s="474" t="s">
        <v>295</v>
      </c>
      <c r="U4" s="474" t="s">
        <v>363</v>
      </c>
      <c r="V4" s="458" t="s">
        <v>295</v>
      </c>
      <c r="W4" s="459" t="s">
        <v>363</v>
      </c>
      <c r="X4" s="473" t="s">
        <v>295</v>
      </c>
      <c r="Y4" s="474" t="s">
        <v>363</v>
      </c>
      <c r="Z4" s="473" t="s">
        <v>295</v>
      </c>
      <c r="AA4" s="471" t="s">
        <v>363</v>
      </c>
      <c r="AB4" s="473" t="s">
        <v>295</v>
      </c>
      <c r="AC4" s="474" t="s">
        <v>363</v>
      </c>
      <c r="AD4" s="473" t="s">
        <v>295</v>
      </c>
      <c r="AE4" s="471" t="s">
        <v>363</v>
      </c>
      <c r="AF4" s="474" t="s">
        <v>295</v>
      </c>
      <c r="AG4" s="474" t="s">
        <v>363</v>
      </c>
      <c r="AH4" s="474" t="s">
        <v>295</v>
      </c>
      <c r="AI4" s="474" t="s">
        <v>363</v>
      </c>
      <c r="AJ4" s="473" t="s">
        <v>295</v>
      </c>
      <c r="AK4" s="474" t="s">
        <v>363</v>
      </c>
      <c r="AL4" s="474" t="s">
        <v>295</v>
      </c>
      <c r="AM4" s="474" t="s">
        <v>363</v>
      </c>
      <c r="AN4" s="473" t="s">
        <v>295</v>
      </c>
      <c r="AO4" s="474" t="s">
        <v>363</v>
      </c>
      <c r="AP4" s="474" t="s">
        <v>295</v>
      </c>
      <c r="AQ4" s="474" t="s">
        <v>363</v>
      </c>
      <c r="AR4" s="474" t="s">
        <v>295</v>
      </c>
      <c r="AS4" s="474" t="s">
        <v>363</v>
      </c>
      <c r="AT4" s="474" t="s">
        <v>295</v>
      </c>
      <c r="AU4" s="474" t="s">
        <v>363</v>
      </c>
      <c r="AV4" s="473" t="s">
        <v>295</v>
      </c>
      <c r="AW4" s="474" t="s">
        <v>363</v>
      </c>
      <c r="AX4" s="473" t="s">
        <v>295</v>
      </c>
      <c r="AY4" s="474" t="s">
        <v>363</v>
      </c>
      <c r="AZ4" s="473" t="s">
        <v>295</v>
      </c>
      <c r="BA4" s="471" t="s">
        <v>363</v>
      </c>
    </row>
    <row r="5" spans="1:53" s="678" customFormat="1" ht="13.5">
      <c r="A5" s="304" t="s">
        <v>3</v>
      </c>
      <c r="B5" s="464">
        <v>7721</v>
      </c>
      <c r="C5" s="684">
        <v>2806</v>
      </c>
      <c r="D5" s="464"/>
      <c r="E5" s="462"/>
      <c r="F5" s="464">
        <v>75</v>
      </c>
      <c r="G5" s="461">
        <v>111</v>
      </c>
      <c r="H5" s="464">
        <v>1776</v>
      </c>
      <c r="I5" s="461">
        <v>215</v>
      </c>
      <c r="J5" s="464"/>
      <c r="K5" s="461"/>
      <c r="L5" s="464"/>
      <c r="M5" s="461"/>
      <c r="N5" s="464"/>
      <c r="O5" s="461"/>
      <c r="P5" s="464"/>
      <c r="Q5" s="461">
        <v>93</v>
      </c>
      <c r="R5" s="464"/>
      <c r="S5" s="461"/>
      <c r="T5" s="460">
        <v>585</v>
      </c>
      <c r="U5" s="684">
        <v>280</v>
      </c>
      <c r="V5" s="1076">
        <v>1564</v>
      </c>
      <c r="W5" s="1077">
        <v>140</v>
      </c>
      <c r="X5" s="460">
        <v>106666</v>
      </c>
      <c r="Y5" s="684">
        <v>12241</v>
      </c>
      <c r="Z5" s="464"/>
      <c r="AA5" s="462"/>
      <c r="AB5" s="299"/>
      <c r="AC5" s="1086"/>
      <c r="AD5" s="464">
        <v>46</v>
      </c>
      <c r="AE5" s="462">
        <v>38</v>
      </c>
      <c r="AF5" s="460">
        <v>4691</v>
      </c>
      <c r="AG5" s="461">
        <v>4312</v>
      </c>
      <c r="AH5" s="460">
        <v>108</v>
      </c>
      <c r="AI5" s="461">
        <v>12</v>
      </c>
      <c r="AJ5" s="460"/>
      <c r="AK5" s="461"/>
      <c r="AL5" s="460"/>
      <c r="AM5" s="461"/>
      <c r="AN5" s="685">
        <v>3112</v>
      </c>
      <c r="AO5" s="675">
        <v>5871</v>
      </c>
      <c r="AP5" s="460"/>
      <c r="AQ5" s="461"/>
      <c r="AR5" s="460"/>
      <c r="AS5" s="461">
        <v>37</v>
      </c>
      <c r="AT5" s="460">
        <v>5324</v>
      </c>
      <c r="AU5" s="461">
        <v>3276</v>
      </c>
      <c r="AV5" s="464">
        <f t="shared" ref="AV5:AV14" si="0">SUM(B5+D5+F5+H5+J5+L5+N5+P5+R5+T5+V5+X5+Z5+P5+AD5+AF5+AH5+AJ5+AL5+AN5+AP5+AR5+AT5)</f>
        <v>131668</v>
      </c>
      <c r="AW5" s="460">
        <f t="shared" ref="AW5:AW14" si="1">SUM(C5+E5+G5+I5+K5+M5+O5+Q5+S5+U5+W5+Y5+AA5+Q5+AE5+AG5+AI5+AK5+AM5+AO5+AQ5+AS5+AU5)</f>
        <v>29525</v>
      </c>
      <c r="AX5" s="460">
        <v>126072</v>
      </c>
      <c r="AY5" s="684"/>
      <c r="AZ5" s="464">
        <f t="shared" ref="AZ5:AZ14" si="2">AV5+AX5</f>
        <v>257740</v>
      </c>
      <c r="BA5" s="686">
        <f t="shared" ref="BA5:BA14" si="3">AW5+AY5</f>
        <v>29525</v>
      </c>
    </row>
    <row r="6" spans="1:53" s="678" customFormat="1" ht="13.5">
      <c r="A6" s="304" t="s">
        <v>4</v>
      </c>
      <c r="B6" s="15">
        <v>169696</v>
      </c>
      <c r="C6" s="1073">
        <v>1548</v>
      </c>
      <c r="D6" s="33"/>
      <c r="E6" s="36"/>
      <c r="F6" s="33"/>
      <c r="G6" s="32"/>
      <c r="H6" s="33">
        <v>3359277</v>
      </c>
      <c r="I6" s="32">
        <v>627658</v>
      </c>
      <c r="J6" s="33">
        <v>8723</v>
      </c>
      <c r="K6" s="32">
        <v>13842</v>
      </c>
      <c r="L6" s="33">
        <v>2444112</v>
      </c>
      <c r="M6" s="32">
        <v>3512293</v>
      </c>
      <c r="N6" s="33">
        <v>2596</v>
      </c>
      <c r="O6" s="32">
        <v>23</v>
      </c>
      <c r="P6" s="33"/>
      <c r="Q6" s="32">
        <v>13277</v>
      </c>
      <c r="R6" s="33">
        <v>106</v>
      </c>
      <c r="S6" s="32">
        <v>69</v>
      </c>
      <c r="T6" s="35">
        <v>9977</v>
      </c>
      <c r="U6" s="826">
        <v>-665</v>
      </c>
      <c r="V6" s="33">
        <v>4948590</v>
      </c>
      <c r="W6" s="682">
        <v>785479</v>
      </c>
      <c r="X6" s="35">
        <v>225755</v>
      </c>
      <c r="Y6" s="826">
        <v>81648</v>
      </c>
      <c r="Z6" s="1082">
        <v>4884</v>
      </c>
      <c r="AA6" s="1083">
        <v>1187</v>
      </c>
      <c r="AB6" s="33">
        <v>12614</v>
      </c>
      <c r="AC6" s="826">
        <v>21890</v>
      </c>
      <c r="AD6" s="33">
        <v>1057045</v>
      </c>
      <c r="AE6" s="36">
        <v>427234</v>
      </c>
      <c r="AF6" s="35">
        <v>538938</v>
      </c>
      <c r="AG6" s="32">
        <v>799185</v>
      </c>
      <c r="AH6" s="35">
        <v>24765</v>
      </c>
      <c r="AI6" s="32">
        <v>32120</v>
      </c>
      <c r="AJ6" s="35"/>
      <c r="AK6" s="32"/>
      <c r="AL6" s="679"/>
      <c r="AM6" s="32"/>
      <c r="AN6" s="676">
        <v>134948</v>
      </c>
      <c r="AO6" s="677">
        <v>249149</v>
      </c>
      <c r="AP6" s="680">
        <v>1</v>
      </c>
      <c r="AQ6" s="681"/>
      <c r="AR6" s="30">
        <v>402024</v>
      </c>
      <c r="AS6" s="31">
        <v>818548</v>
      </c>
      <c r="AT6" s="35">
        <v>29</v>
      </c>
      <c r="AU6" s="32">
        <v>45</v>
      </c>
      <c r="AV6" s="15">
        <f t="shared" si="0"/>
        <v>13331466</v>
      </c>
      <c r="AW6" s="16">
        <f t="shared" si="1"/>
        <v>7375917</v>
      </c>
      <c r="AX6" s="30">
        <v>10972</v>
      </c>
      <c r="AY6" s="1069"/>
      <c r="AZ6" s="15">
        <f t="shared" si="2"/>
        <v>13342438</v>
      </c>
      <c r="BA6" s="287">
        <f t="shared" si="3"/>
        <v>7375917</v>
      </c>
    </row>
    <row r="7" spans="1:53" s="678" customFormat="1" ht="13.5">
      <c r="A7" s="304" t="s">
        <v>5</v>
      </c>
      <c r="B7" s="15">
        <v>109099</v>
      </c>
      <c r="C7" s="1073">
        <v>19523</v>
      </c>
      <c r="D7" s="33"/>
      <c r="E7" s="36">
        <v>4887</v>
      </c>
      <c r="F7" s="33"/>
      <c r="G7" s="32"/>
      <c r="H7" s="33">
        <v>1263454</v>
      </c>
      <c r="I7" s="32">
        <v>21326</v>
      </c>
      <c r="J7" s="33">
        <v>64</v>
      </c>
      <c r="K7" s="32">
        <v>6</v>
      </c>
      <c r="L7" s="33">
        <v>2507</v>
      </c>
      <c r="M7" s="32">
        <v>848</v>
      </c>
      <c r="N7" s="33">
        <v>257170</v>
      </c>
      <c r="O7" s="32">
        <v>577810</v>
      </c>
      <c r="P7" s="33"/>
      <c r="Q7" s="32"/>
      <c r="R7" s="33"/>
      <c r="S7" s="32"/>
      <c r="T7" s="35">
        <v>114</v>
      </c>
      <c r="U7" s="826"/>
      <c r="V7" s="33">
        <v>1037314</v>
      </c>
      <c r="W7" s="682">
        <v>283501</v>
      </c>
      <c r="X7" s="35">
        <v>15234</v>
      </c>
      <c r="Y7" s="826">
        <v>57221</v>
      </c>
      <c r="Z7" s="1082"/>
      <c r="AA7" s="1083"/>
      <c r="AB7" s="33"/>
      <c r="AC7" s="826"/>
      <c r="AD7" s="33">
        <v>316239</v>
      </c>
      <c r="AE7" s="36">
        <v>240278</v>
      </c>
      <c r="AF7" s="35"/>
      <c r="AG7" s="32">
        <v>733</v>
      </c>
      <c r="AH7" s="35">
        <v>1513</v>
      </c>
      <c r="AI7" s="32">
        <v>780</v>
      </c>
      <c r="AJ7" s="35"/>
      <c r="AK7" s="32"/>
      <c r="AL7" s="679"/>
      <c r="AM7" s="32"/>
      <c r="AN7" s="676">
        <v>2003</v>
      </c>
      <c r="AO7" s="677">
        <v>395</v>
      </c>
      <c r="AP7" s="680">
        <v>111035</v>
      </c>
      <c r="AQ7" s="681">
        <v>8370</v>
      </c>
      <c r="AR7" s="30"/>
      <c r="AS7" s="31"/>
      <c r="AT7" s="35"/>
      <c r="AU7" s="32"/>
      <c r="AV7" s="15">
        <f t="shared" si="0"/>
        <v>3115746</v>
      </c>
      <c r="AW7" s="16">
        <f t="shared" si="1"/>
        <v>1215678</v>
      </c>
      <c r="AX7" s="30">
        <v>2196</v>
      </c>
      <c r="AY7" s="1069"/>
      <c r="AZ7" s="15">
        <f t="shared" si="2"/>
        <v>3117942</v>
      </c>
      <c r="BA7" s="287">
        <f t="shared" si="3"/>
        <v>1215678</v>
      </c>
    </row>
    <row r="8" spans="1:53" s="678" customFormat="1" ht="13.5">
      <c r="A8" s="304" t="s">
        <v>6</v>
      </c>
      <c r="B8" s="15">
        <v>160521</v>
      </c>
      <c r="C8" s="1073">
        <v>121188</v>
      </c>
      <c r="D8" s="33">
        <v>10861</v>
      </c>
      <c r="E8" s="36">
        <v>29752</v>
      </c>
      <c r="F8" s="33">
        <v>90498</v>
      </c>
      <c r="G8" s="32">
        <v>167262</v>
      </c>
      <c r="H8" s="33">
        <v>301618</v>
      </c>
      <c r="I8" s="32">
        <v>65510</v>
      </c>
      <c r="J8" s="33"/>
      <c r="K8" s="32"/>
      <c r="L8" s="33">
        <v>150</v>
      </c>
      <c r="M8" s="32"/>
      <c r="N8" s="33">
        <v>592069</v>
      </c>
      <c r="O8" s="32">
        <v>102567</v>
      </c>
      <c r="P8" s="33">
        <v>7245</v>
      </c>
      <c r="Q8" s="32">
        <v>11360</v>
      </c>
      <c r="R8" s="33">
        <v>362701</v>
      </c>
      <c r="S8" s="32">
        <v>13989</v>
      </c>
      <c r="T8" s="35">
        <v>10722</v>
      </c>
      <c r="U8" s="826">
        <v>13605</v>
      </c>
      <c r="V8" s="33">
        <v>558888</v>
      </c>
      <c r="W8" s="682">
        <v>210546</v>
      </c>
      <c r="X8" s="35">
        <v>711132</v>
      </c>
      <c r="Y8" s="826">
        <v>221321</v>
      </c>
      <c r="Z8" s="1082"/>
      <c r="AA8" s="1083"/>
      <c r="AB8" s="33">
        <v>151503</v>
      </c>
      <c r="AC8" s="826">
        <v>73456</v>
      </c>
      <c r="AD8" s="33">
        <v>217711</v>
      </c>
      <c r="AE8" s="36">
        <v>56175</v>
      </c>
      <c r="AF8" s="35">
        <v>93098</v>
      </c>
      <c r="AG8" s="32">
        <v>98660</v>
      </c>
      <c r="AH8" s="35">
        <v>207735</v>
      </c>
      <c r="AI8" s="32">
        <v>115154</v>
      </c>
      <c r="AJ8" s="35">
        <v>35</v>
      </c>
      <c r="AK8" s="32">
        <v>1147</v>
      </c>
      <c r="AL8" s="679"/>
      <c r="AM8" s="32"/>
      <c r="AN8" s="676">
        <v>120424</v>
      </c>
      <c r="AO8" s="677">
        <v>89798</v>
      </c>
      <c r="AP8" s="680">
        <v>36394</v>
      </c>
      <c r="AQ8" s="681">
        <v>1</v>
      </c>
      <c r="AR8" s="30">
        <v>1319</v>
      </c>
      <c r="AS8" s="31">
        <v>17742</v>
      </c>
      <c r="AT8" s="35">
        <v>91176</v>
      </c>
      <c r="AU8" s="32">
        <v>41222</v>
      </c>
      <c r="AV8" s="15">
        <f t="shared" si="0"/>
        <v>3581542</v>
      </c>
      <c r="AW8" s="16">
        <f t="shared" si="1"/>
        <v>1388359</v>
      </c>
      <c r="AX8" s="30">
        <v>936</v>
      </c>
      <c r="AY8" s="1069"/>
      <c r="AZ8" s="15">
        <f t="shared" si="2"/>
        <v>3582478</v>
      </c>
      <c r="BA8" s="287">
        <f t="shared" si="3"/>
        <v>1388359</v>
      </c>
    </row>
    <row r="9" spans="1:53" s="678" customFormat="1" ht="13.5">
      <c r="A9" s="304" t="s">
        <v>7</v>
      </c>
      <c r="B9" s="15"/>
      <c r="C9" s="1073"/>
      <c r="D9" s="33"/>
      <c r="E9" s="36"/>
      <c r="F9" s="33"/>
      <c r="G9" s="32"/>
      <c r="H9" s="33">
        <v>356205</v>
      </c>
      <c r="I9" s="32">
        <v>151878</v>
      </c>
      <c r="J9" s="33"/>
      <c r="K9" s="32"/>
      <c r="L9" s="33"/>
      <c r="M9" s="32"/>
      <c r="N9" s="33">
        <v>135965</v>
      </c>
      <c r="O9" s="32">
        <v>25435</v>
      </c>
      <c r="P9" s="33"/>
      <c r="Q9" s="32"/>
      <c r="R9" s="33"/>
      <c r="S9" s="32"/>
      <c r="T9" s="35"/>
      <c r="U9" s="826"/>
      <c r="V9" s="33">
        <v>34514</v>
      </c>
      <c r="W9" s="682">
        <v>5301</v>
      </c>
      <c r="X9" s="35"/>
      <c r="Y9" s="826"/>
      <c r="Z9" s="1082"/>
      <c r="AA9" s="1083"/>
      <c r="AB9" s="33"/>
      <c r="AC9" s="826"/>
      <c r="AD9" s="33">
        <v>851478</v>
      </c>
      <c r="AE9" s="36">
        <v>343674</v>
      </c>
      <c r="AF9" s="35"/>
      <c r="AG9" s="32"/>
      <c r="AH9" s="35"/>
      <c r="AI9" s="32"/>
      <c r="AJ9" s="35"/>
      <c r="AK9" s="32"/>
      <c r="AL9" s="679"/>
      <c r="AM9" s="32"/>
      <c r="AN9" s="676"/>
      <c r="AO9" s="677"/>
      <c r="AP9" s="680"/>
      <c r="AQ9" s="681"/>
      <c r="AR9" s="30"/>
      <c r="AS9" s="31"/>
      <c r="AT9" s="35"/>
      <c r="AU9" s="32"/>
      <c r="AV9" s="15">
        <f t="shared" si="0"/>
        <v>1378162</v>
      </c>
      <c r="AW9" s="16">
        <f t="shared" si="1"/>
        <v>526288</v>
      </c>
      <c r="AX9" s="30"/>
      <c r="AY9" s="1069"/>
      <c r="AZ9" s="15">
        <f t="shared" si="2"/>
        <v>1378162</v>
      </c>
      <c r="BA9" s="287">
        <f t="shared" si="3"/>
        <v>526288</v>
      </c>
    </row>
    <row r="10" spans="1:53" s="678" customFormat="1" ht="13.5">
      <c r="A10" s="304" t="s">
        <v>8</v>
      </c>
      <c r="B10" s="15">
        <v>262118</v>
      </c>
      <c r="C10" s="1073">
        <v>98930</v>
      </c>
      <c r="D10" s="33">
        <v>15804</v>
      </c>
      <c r="E10" s="36">
        <v>5402</v>
      </c>
      <c r="F10" s="33">
        <v>11908</v>
      </c>
      <c r="G10" s="32">
        <v>33370</v>
      </c>
      <c r="H10" s="33">
        <v>2186174</v>
      </c>
      <c r="I10" s="32">
        <v>791270</v>
      </c>
      <c r="J10" s="33">
        <v>14910</v>
      </c>
      <c r="K10" s="32">
        <v>501523</v>
      </c>
      <c r="L10" s="33">
        <v>454</v>
      </c>
      <c r="M10" s="32">
        <v>10307</v>
      </c>
      <c r="N10" s="33">
        <v>2002869</v>
      </c>
      <c r="O10" s="32">
        <v>350021</v>
      </c>
      <c r="P10" s="33">
        <v>11109</v>
      </c>
      <c r="Q10" s="32">
        <v>3057</v>
      </c>
      <c r="R10" s="33">
        <v>22217</v>
      </c>
      <c r="S10" s="32">
        <v>22144</v>
      </c>
      <c r="T10" s="35">
        <v>133646</v>
      </c>
      <c r="U10" s="826">
        <v>3100</v>
      </c>
      <c r="V10" s="33">
        <v>6171853</v>
      </c>
      <c r="W10" s="682">
        <v>1239268</v>
      </c>
      <c r="X10" s="35">
        <v>4846846</v>
      </c>
      <c r="Y10" s="826">
        <v>2568544</v>
      </c>
      <c r="Z10" s="1082">
        <v>23713</v>
      </c>
      <c r="AA10" s="1083">
        <v>441</v>
      </c>
      <c r="AB10" s="33">
        <v>826420</v>
      </c>
      <c r="AC10" s="826">
        <v>458793</v>
      </c>
      <c r="AD10" s="984">
        <v>1502079</v>
      </c>
      <c r="AE10" s="38">
        <v>577681</v>
      </c>
      <c r="AF10" s="35">
        <v>702713</v>
      </c>
      <c r="AG10" s="32">
        <v>162171</v>
      </c>
      <c r="AH10" s="35">
        <v>475232</v>
      </c>
      <c r="AI10" s="32">
        <v>25957</v>
      </c>
      <c r="AJ10" s="35">
        <v>116250</v>
      </c>
      <c r="AK10" s="32">
        <v>37753</v>
      </c>
      <c r="AL10" s="679"/>
      <c r="AM10" s="32"/>
      <c r="AN10" s="676">
        <v>855356</v>
      </c>
      <c r="AO10" s="677">
        <v>957556</v>
      </c>
      <c r="AP10" s="680">
        <v>517029</v>
      </c>
      <c r="AQ10" s="681">
        <v>111234</v>
      </c>
      <c r="AR10" s="30">
        <v>1375</v>
      </c>
      <c r="AS10" s="31">
        <v>203</v>
      </c>
      <c r="AT10" s="35">
        <v>41818</v>
      </c>
      <c r="AU10" s="32">
        <v>126918</v>
      </c>
      <c r="AV10" s="15">
        <f t="shared" si="0"/>
        <v>19926582</v>
      </c>
      <c r="AW10" s="16">
        <f t="shared" si="1"/>
        <v>7629907</v>
      </c>
      <c r="AX10" s="35">
        <v>4618501</v>
      </c>
      <c r="AY10" s="826"/>
      <c r="AZ10" s="15">
        <f t="shared" si="2"/>
        <v>24545083</v>
      </c>
      <c r="BA10" s="287">
        <f t="shared" si="3"/>
        <v>7629907</v>
      </c>
    </row>
    <row r="11" spans="1:53" s="678" customFormat="1" thickBot="1">
      <c r="A11" s="304" t="s">
        <v>9</v>
      </c>
      <c r="B11" s="635"/>
      <c r="C11" s="1074"/>
      <c r="D11" s="643"/>
      <c r="E11" s="710"/>
      <c r="F11" s="643"/>
      <c r="G11" s="709"/>
      <c r="H11" s="643"/>
      <c r="I11" s="709"/>
      <c r="J11" s="643"/>
      <c r="K11" s="709"/>
      <c r="L11" s="643"/>
      <c r="M11" s="709"/>
      <c r="N11" s="643"/>
      <c r="O11" s="709"/>
      <c r="P11" s="643"/>
      <c r="Q11" s="709"/>
      <c r="R11" s="643"/>
      <c r="S11" s="709"/>
      <c r="T11" s="637"/>
      <c r="U11" s="828"/>
      <c r="V11" s="33"/>
      <c r="W11" s="36"/>
      <c r="X11" s="637"/>
      <c r="Y11" s="828">
        <v>17</v>
      </c>
      <c r="Z11" s="1084"/>
      <c r="AA11" s="1085"/>
      <c r="AB11" s="643"/>
      <c r="AC11" s="828"/>
      <c r="AD11" s="985"/>
      <c r="AE11" s="639"/>
      <c r="AF11" s="637"/>
      <c r="AG11" s="709"/>
      <c r="AH11" s="637"/>
      <c r="AI11" s="709"/>
      <c r="AJ11" s="637"/>
      <c r="AK11" s="709"/>
      <c r="AL11" s="711"/>
      <c r="AM11" s="709"/>
      <c r="AN11" s="712"/>
      <c r="AO11" s="713"/>
      <c r="AP11" s="714"/>
      <c r="AQ11" s="715"/>
      <c r="AR11" s="716"/>
      <c r="AS11" s="717"/>
      <c r="AT11" s="637"/>
      <c r="AU11" s="709"/>
      <c r="AV11" s="635">
        <f t="shared" si="0"/>
        <v>0</v>
      </c>
      <c r="AW11" s="642">
        <f t="shared" si="1"/>
        <v>17</v>
      </c>
      <c r="AX11" s="637"/>
      <c r="AY11" s="828"/>
      <c r="AZ11" s="635">
        <f t="shared" si="2"/>
        <v>0</v>
      </c>
      <c r="BA11" s="636">
        <f t="shared" si="3"/>
        <v>17</v>
      </c>
    </row>
    <row r="12" spans="1:53" s="375" customFormat="1" ht="15" thickBot="1">
      <c r="A12" s="687" t="s">
        <v>10</v>
      </c>
      <c r="B12" s="624">
        <f>SUM(B5:B11)</f>
        <v>709155</v>
      </c>
      <c r="C12" s="707">
        <f t="shared" ref="C12:AH12" si="4">SUM(C5:C11)</f>
        <v>243995</v>
      </c>
      <c r="D12" s="624">
        <f t="shared" si="4"/>
        <v>26665</v>
      </c>
      <c r="E12" s="627">
        <f t="shared" si="4"/>
        <v>40041</v>
      </c>
      <c r="F12" s="624">
        <f t="shared" si="4"/>
        <v>102481</v>
      </c>
      <c r="G12" s="626">
        <f t="shared" si="4"/>
        <v>200743</v>
      </c>
      <c r="H12" s="624">
        <f t="shared" si="4"/>
        <v>7468504</v>
      </c>
      <c r="I12" s="626">
        <f t="shared" si="4"/>
        <v>1657857</v>
      </c>
      <c r="J12" s="624">
        <f t="shared" si="4"/>
        <v>23697</v>
      </c>
      <c r="K12" s="626">
        <f t="shared" si="4"/>
        <v>515371</v>
      </c>
      <c r="L12" s="624">
        <f t="shared" si="4"/>
        <v>2447223</v>
      </c>
      <c r="M12" s="626">
        <f t="shared" si="4"/>
        <v>3523448</v>
      </c>
      <c r="N12" s="624">
        <f t="shared" si="4"/>
        <v>2990669</v>
      </c>
      <c r="O12" s="626">
        <f t="shared" si="4"/>
        <v>1055856</v>
      </c>
      <c r="P12" s="624">
        <f>SUM(P5:P11)</f>
        <v>18354</v>
      </c>
      <c r="Q12" s="626">
        <f>SUM(Q5:Q11)</f>
        <v>27787</v>
      </c>
      <c r="R12" s="624">
        <f t="shared" si="4"/>
        <v>385024</v>
      </c>
      <c r="S12" s="626">
        <f t="shared" si="4"/>
        <v>36202</v>
      </c>
      <c r="T12" s="628">
        <f t="shared" si="4"/>
        <v>155044</v>
      </c>
      <c r="U12" s="707">
        <f t="shared" si="4"/>
        <v>16320</v>
      </c>
      <c r="V12" s="1078">
        <f t="shared" si="4"/>
        <v>12752723</v>
      </c>
      <c r="W12" s="1079">
        <f t="shared" si="4"/>
        <v>2524235</v>
      </c>
      <c r="X12" s="628">
        <f t="shared" si="4"/>
        <v>5905633</v>
      </c>
      <c r="Y12" s="707">
        <f t="shared" si="4"/>
        <v>2940992</v>
      </c>
      <c r="Z12" s="624">
        <f t="shared" si="4"/>
        <v>28597</v>
      </c>
      <c r="AA12" s="627">
        <f t="shared" si="4"/>
        <v>1628</v>
      </c>
      <c r="AB12" s="624">
        <f t="shared" si="4"/>
        <v>990537</v>
      </c>
      <c r="AC12" s="707">
        <f t="shared" si="4"/>
        <v>554139</v>
      </c>
      <c r="AD12" s="624">
        <f t="shared" si="4"/>
        <v>3944598</v>
      </c>
      <c r="AE12" s="627">
        <f t="shared" si="4"/>
        <v>1645080</v>
      </c>
      <c r="AF12" s="628">
        <f t="shared" si="4"/>
        <v>1339440</v>
      </c>
      <c r="AG12" s="626">
        <f t="shared" si="4"/>
        <v>1065061</v>
      </c>
      <c r="AH12" s="628">
        <f t="shared" si="4"/>
        <v>709353</v>
      </c>
      <c r="AI12" s="626">
        <f t="shared" ref="AI12:AU12" si="5">SUM(AI5:AI11)</f>
        <v>174023</v>
      </c>
      <c r="AJ12" s="628">
        <f t="shared" si="5"/>
        <v>116285</v>
      </c>
      <c r="AK12" s="626">
        <f t="shared" si="5"/>
        <v>38900</v>
      </c>
      <c r="AL12" s="628">
        <f t="shared" si="5"/>
        <v>0</v>
      </c>
      <c r="AM12" s="626">
        <f t="shared" si="5"/>
        <v>0</v>
      </c>
      <c r="AN12" s="628">
        <f t="shared" si="5"/>
        <v>1115843</v>
      </c>
      <c r="AO12" s="626">
        <f t="shared" si="5"/>
        <v>1302769</v>
      </c>
      <c r="AP12" s="628">
        <f t="shared" si="5"/>
        <v>664459</v>
      </c>
      <c r="AQ12" s="626">
        <f t="shared" si="5"/>
        <v>119605</v>
      </c>
      <c r="AR12" s="628">
        <f t="shared" si="5"/>
        <v>404718</v>
      </c>
      <c r="AS12" s="626">
        <f t="shared" si="5"/>
        <v>836530</v>
      </c>
      <c r="AT12" s="628">
        <f t="shared" si="5"/>
        <v>138347</v>
      </c>
      <c r="AU12" s="626">
        <f t="shared" si="5"/>
        <v>171461</v>
      </c>
      <c r="AV12" s="624">
        <f t="shared" si="0"/>
        <v>41465166</v>
      </c>
      <c r="AW12" s="628">
        <f t="shared" si="1"/>
        <v>18165691</v>
      </c>
      <c r="AX12" s="633">
        <f>SUM(AX5:AX11)</f>
        <v>4758677</v>
      </c>
      <c r="AY12" s="1070">
        <f>SUM(AY5:AY11)</f>
        <v>0</v>
      </c>
      <c r="AZ12" s="624">
        <f t="shared" si="2"/>
        <v>46223843</v>
      </c>
      <c r="BA12" s="708">
        <f t="shared" si="3"/>
        <v>18165691</v>
      </c>
    </row>
    <row r="13" spans="1:53" ht="15" thickBot="1">
      <c r="A13" s="298" t="s">
        <v>11</v>
      </c>
      <c r="B13" s="718"/>
      <c r="C13" s="1075"/>
      <c r="D13" s="827"/>
      <c r="E13" s="721"/>
      <c r="F13" s="827"/>
      <c r="G13" s="720"/>
      <c r="H13" s="827"/>
      <c r="I13" s="720"/>
      <c r="J13" s="829"/>
      <c r="K13" s="722"/>
      <c r="L13" s="827"/>
      <c r="M13" s="720"/>
      <c r="N13" s="827"/>
      <c r="O13" s="720"/>
      <c r="P13" s="827"/>
      <c r="Q13" s="720"/>
      <c r="R13" s="827"/>
      <c r="S13" s="720"/>
      <c r="T13" s="719"/>
      <c r="U13" s="723">
        <v>0</v>
      </c>
      <c r="V13" s="19"/>
      <c r="W13" s="22"/>
      <c r="X13" s="719"/>
      <c r="Y13" s="723"/>
      <c r="Z13" s="827"/>
      <c r="AA13" s="721"/>
      <c r="AB13" s="724"/>
      <c r="AC13" s="1087"/>
      <c r="AD13" s="827"/>
      <c r="AE13" s="721"/>
      <c r="AF13" s="719"/>
      <c r="AG13" s="720"/>
      <c r="AH13" s="719"/>
      <c r="AI13" s="720"/>
      <c r="AJ13" s="719"/>
      <c r="AK13" s="720"/>
      <c r="AL13" s="725"/>
      <c r="AM13" s="722"/>
      <c r="AN13" s="726"/>
      <c r="AO13" s="727"/>
      <c r="AP13" s="728"/>
      <c r="AQ13" s="729"/>
      <c r="AR13" s="730"/>
      <c r="AS13" s="731">
        <v>0</v>
      </c>
      <c r="AT13" s="719"/>
      <c r="AU13" s="720"/>
      <c r="AV13" s="718">
        <f t="shared" si="0"/>
        <v>0</v>
      </c>
      <c r="AW13" s="732">
        <f t="shared" si="1"/>
        <v>0</v>
      </c>
      <c r="AX13" s="730"/>
      <c r="AY13" s="1071"/>
      <c r="AZ13" s="718">
        <f t="shared" si="2"/>
        <v>0</v>
      </c>
      <c r="BA13" s="733">
        <f t="shared" si="3"/>
        <v>0</v>
      </c>
    </row>
    <row r="14" spans="1:53" s="375" customFormat="1" ht="15" thickBot="1">
      <c r="A14" s="687" t="s">
        <v>12</v>
      </c>
      <c r="B14" s="624">
        <f>B12+B13</f>
        <v>709155</v>
      </c>
      <c r="C14" s="707">
        <f t="shared" ref="C14:AH14" si="6">C12+C13</f>
        <v>243995</v>
      </c>
      <c r="D14" s="624">
        <f t="shared" si="6"/>
        <v>26665</v>
      </c>
      <c r="E14" s="627">
        <f t="shared" si="6"/>
        <v>40041</v>
      </c>
      <c r="F14" s="624">
        <f t="shared" si="6"/>
        <v>102481</v>
      </c>
      <c r="G14" s="626">
        <f t="shared" si="6"/>
        <v>200743</v>
      </c>
      <c r="H14" s="624">
        <f t="shared" si="6"/>
        <v>7468504</v>
      </c>
      <c r="I14" s="626">
        <f t="shared" si="6"/>
        <v>1657857</v>
      </c>
      <c r="J14" s="624">
        <f t="shared" si="6"/>
        <v>23697</v>
      </c>
      <c r="K14" s="626">
        <f t="shared" si="6"/>
        <v>515371</v>
      </c>
      <c r="L14" s="624">
        <f t="shared" si="6"/>
        <v>2447223</v>
      </c>
      <c r="M14" s="626">
        <f t="shared" si="6"/>
        <v>3523448</v>
      </c>
      <c r="N14" s="624">
        <f t="shared" si="6"/>
        <v>2990669</v>
      </c>
      <c r="O14" s="626">
        <f t="shared" si="6"/>
        <v>1055856</v>
      </c>
      <c r="P14" s="624">
        <f>P12+P13</f>
        <v>18354</v>
      </c>
      <c r="Q14" s="626">
        <f>Q12+Q13</f>
        <v>27787</v>
      </c>
      <c r="R14" s="624">
        <f t="shared" si="6"/>
        <v>385024</v>
      </c>
      <c r="S14" s="626">
        <f t="shared" si="6"/>
        <v>36202</v>
      </c>
      <c r="T14" s="628">
        <f t="shared" si="6"/>
        <v>155044</v>
      </c>
      <c r="U14" s="707">
        <f t="shared" si="6"/>
        <v>16320</v>
      </c>
      <c r="V14" s="1080">
        <f t="shared" si="6"/>
        <v>12752723</v>
      </c>
      <c r="W14" s="1081">
        <f t="shared" si="6"/>
        <v>2524235</v>
      </c>
      <c r="X14" s="628">
        <f t="shared" si="6"/>
        <v>5905633</v>
      </c>
      <c r="Y14" s="707">
        <f t="shared" si="6"/>
        <v>2940992</v>
      </c>
      <c r="Z14" s="624">
        <f t="shared" si="6"/>
        <v>28597</v>
      </c>
      <c r="AA14" s="627">
        <f t="shared" si="6"/>
        <v>1628</v>
      </c>
      <c r="AB14" s="624">
        <f t="shared" si="6"/>
        <v>990537</v>
      </c>
      <c r="AC14" s="707">
        <f t="shared" si="6"/>
        <v>554139</v>
      </c>
      <c r="AD14" s="624">
        <f t="shared" si="6"/>
        <v>3944598</v>
      </c>
      <c r="AE14" s="627">
        <f t="shared" si="6"/>
        <v>1645080</v>
      </c>
      <c r="AF14" s="628">
        <f t="shared" si="6"/>
        <v>1339440</v>
      </c>
      <c r="AG14" s="626">
        <f t="shared" si="6"/>
        <v>1065061</v>
      </c>
      <c r="AH14" s="628">
        <f t="shared" si="6"/>
        <v>709353</v>
      </c>
      <c r="AI14" s="626">
        <f t="shared" ref="AI14:AU14" si="7">AI12+AI13</f>
        <v>174023</v>
      </c>
      <c r="AJ14" s="628">
        <f t="shared" si="7"/>
        <v>116285</v>
      </c>
      <c r="AK14" s="626">
        <f t="shared" si="7"/>
        <v>38900</v>
      </c>
      <c r="AL14" s="628">
        <f t="shared" si="7"/>
        <v>0</v>
      </c>
      <c r="AM14" s="626">
        <f t="shared" si="7"/>
        <v>0</v>
      </c>
      <c r="AN14" s="628">
        <f t="shared" si="7"/>
        <v>1115843</v>
      </c>
      <c r="AO14" s="626">
        <f t="shared" si="7"/>
        <v>1302769</v>
      </c>
      <c r="AP14" s="628">
        <f t="shared" si="7"/>
        <v>664459</v>
      </c>
      <c r="AQ14" s="626">
        <f t="shared" si="7"/>
        <v>119605</v>
      </c>
      <c r="AR14" s="628">
        <f t="shared" si="7"/>
        <v>404718</v>
      </c>
      <c r="AS14" s="626">
        <f t="shared" si="7"/>
        <v>836530</v>
      </c>
      <c r="AT14" s="628">
        <f t="shared" si="7"/>
        <v>138347</v>
      </c>
      <c r="AU14" s="626">
        <f t="shared" si="7"/>
        <v>171461</v>
      </c>
      <c r="AV14" s="624">
        <f t="shared" si="0"/>
        <v>41465166</v>
      </c>
      <c r="AW14" s="628">
        <f t="shared" si="1"/>
        <v>18165691</v>
      </c>
      <c r="AX14" s="633">
        <f>AX12+AX13</f>
        <v>4758677</v>
      </c>
      <c r="AY14" s="1070">
        <f>AY12+AY13</f>
        <v>0</v>
      </c>
      <c r="AZ14" s="624">
        <f t="shared" si="2"/>
        <v>46223843</v>
      </c>
      <c r="BA14" s="708">
        <f t="shared" si="3"/>
        <v>18165691</v>
      </c>
    </row>
  </sheetData>
  <mergeCells count="29">
    <mergeCell ref="AB3:AC3"/>
    <mergeCell ref="AD3:AE3"/>
    <mergeCell ref="AF3:AG3"/>
    <mergeCell ref="N3:O3"/>
    <mergeCell ref="L3:M3"/>
    <mergeCell ref="R3:S3"/>
    <mergeCell ref="T3:U3"/>
    <mergeCell ref="V3:W3"/>
    <mergeCell ref="X3:Y3"/>
    <mergeCell ref="AN3:AO3"/>
    <mergeCell ref="AV3:AW3"/>
    <mergeCell ref="AT3:AU3"/>
    <mergeCell ref="AZ3:BA3"/>
    <mergeCell ref="AX3:AY3"/>
    <mergeCell ref="B3:C3"/>
    <mergeCell ref="D3:E3"/>
    <mergeCell ref="F3:G3"/>
    <mergeCell ref="H3:I3"/>
    <mergeCell ref="J3:K3"/>
    <mergeCell ref="A1:BA1"/>
    <mergeCell ref="A2:BA2"/>
    <mergeCell ref="A3:A4"/>
    <mergeCell ref="AR3:AS3"/>
    <mergeCell ref="AP3:AQ3"/>
    <mergeCell ref="Z3:AA3"/>
    <mergeCell ref="P3:Q3"/>
    <mergeCell ref="AH3:AI3"/>
    <mergeCell ref="AJ3:AK3"/>
    <mergeCell ref="AL3:AM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19"/>
  <sheetViews>
    <sheetView workbookViewId="0">
      <pane xSplit="1" topLeftCell="P1" activePane="topRight" state="frozen"/>
      <selection pane="topRight" activeCell="Q16" sqref="Q16"/>
    </sheetView>
    <sheetView workbookViewId="1">
      <selection sqref="A1:BA1"/>
    </sheetView>
  </sheetViews>
  <sheetFormatPr defaultRowHeight="16.5"/>
  <cols>
    <col min="1" max="1" width="20" style="59" bestFit="1" customWidth="1"/>
    <col min="2" max="2" width="11.7109375" style="59" bestFit="1" customWidth="1"/>
    <col min="3" max="3" width="11.42578125" style="59" bestFit="1" customWidth="1"/>
    <col min="4" max="5" width="10.28515625" style="59" customWidth="1"/>
    <col min="6" max="21" width="11.42578125" style="59" bestFit="1" customWidth="1"/>
    <col min="22" max="23" width="11.7109375" style="59" bestFit="1" customWidth="1"/>
    <col min="24" max="29" width="11.42578125" style="59" bestFit="1" customWidth="1"/>
    <col min="30" max="31" width="11.7109375" style="59" bestFit="1" customWidth="1"/>
    <col min="32" max="34" width="11.42578125" style="59" bestFit="1" customWidth="1"/>
    <col min="35" max="35" width="11.7109375" style="59" bestFit="1" customWidth="1"/>
    <col min="36" max="38" width="11.42578125" style="59" bestFit="1" customWidth="1"/>
    <col min="39" max="39" width="11.7109375" style="59" bestFit="1" customWidth="1"/>
    <col min="40" max="41" width="11.42578125" style="59" bestFit="1" customWidth="1"/>
    <col min="42" max="53" width="11.7109375" style="59" bestFit="1" customWidth="1"/>
    <col min="54" max="58" width="9.140625" style="816"/>
    <col min="59" max="16384" width="9.140625" style="59"/>
  </cols>
  <sheetData>
    <row r="1" spans="1:58" ht="17.25">
      <c r="A1" s="1255" t="s">
        <v>278</v>
      </c>
      <c r="B1" s="1255"/>
      <c r="C1" s="1255"/>
      <c r="D1" s="1255"/>
      <c r="E1" s="1255"/>
      <c r="F1" s="1255"/>
      <c r="G1" s="1255"/>
      <c r="H1" s="1255"/>
      <c r="I1" s="1255"/>
      <c r="J1" s="1255"/>
      <c r="K1" s="1255"/>
      <c r="L1" s="1255"/>
      <c r="M1" s="1255"/>
      <c r="N1" s="1255"/>
      <c r="O1" s="1255"/>
      <c r="P1" s="1255"/>
      <c r="Q1" s="1255"/>
      <c r="R1" s="1255"/>
      <c r="S1" s="1255"/>
      <c r="T1" s="1255"/>
      <c r="U1" s="1255"/>
      <c r="V1" s="1255"/>
      <c r="W1" s="1255"/>
      <c r="X1" s="1255"/>
      <c r="Y1" s="1255"/>
      <c r="Z1" s="1255"/>
      <c r="AA1" s="1255"/>
      <c r="AB1" s="1255"/>
      <c r="AC1" s="1255"/>
      <c r="AD1" s="1255"/>
      <c r="AE1" s="1255"/>
      <c r="AF1" s="1255"/>
      <c r="AG1" s="1255"/>
      <c r="AH1" s="1255"/>
      <c r="AI1" s="1255"/>
      <c r="AJ1" s="1255"/>
      <c r="AK1" s="1255"/>
      <c r="AL1" s="1255"/>
      <c r="AM1" s="1255"/>
      <c r="AN1" s="1255"/>
      <c r="AO1" s="1255"/>
      <c r="AP1" s="1255"/>
      <c r="AQ1" s="1255"/>
      <c r="AR1" s="1255"/>
      <c r="AS1" s="1255"/>
      <c r="AT1" s="1255"/>
      <c r="AU1" s="1255"/>
      <c r="AV1" s="1255"/>
      <c r="AW1" s="1255"/>
      <c r="AX1" s="1255"/>
      <c r="AY1" s="1255"/>
      <c r="AZ1" s="1255"/>
      <c r="BA1" s="1255"/>
    </row>
    <row r="2" spans="1:58" s="566" customFormat="1" ht="18" thickBot="1">
      <c r="A2" s="1342" t="s">
        <v>162</v>
      </c>
      <c r="B2" s="1342"/>
      <c r="C2" s="1342"/>
      <c r="D2" s="1342"/>
      <c r="E2" s="1342"/>
      <c r="F2" s="1342"/>
      <c r="G2" s="1342"/>
      <c r="H2" s="1342"/>
      <c r="I2" s="1342"/>
      <c r="J2" s="1342"/>
      <c r="K2" s="1342"/>
      <c r="L2" s="1342"/>
      <c r="M2" s="1342"/>
      <c r="N2" s="1342"/>
      <c r="O2" s="1342"/>
      <c r="P2" s="1342"/>
      <c r="Q2" s="1342"/>
      <c r="R2" s="1342"/>
      <c r="S2" s="1342"/>
      <c r="T2" s="1342"/>
      <c r="U2" s="1342"/>
      <c r="V2" s="1342"/>
      <c r="W2" s="1342"/>
      <c r="X2" s="1342"/>
      <c r="Y2" s="1342"/>
      <c r="Z2" s="1342"/>
      <c r="AA2" s="1342"/>
      <c r="AB2" s="1342"/>
      <c r="AC2" s="1342"/>
      <c r="AD2" s="1342"/>
      <c r="AE2" s="1342"/>
      <c r="AF2" s="1342"/>
      <c r="AG2" s="1342"/>
      <c r="AH2" s="1342"/>
      <c r="AI2" s="1342"/>
      <c r="AJ2" s="1342"/>
      <c r="AK2" s="1342"/>
      <c r="AL2" s="1342"/>
      <c r="AM2" s="1342"/>
      <c r="AN2" s="1342"/>
      <c r="AO2" s="1342"/>
      <c r="AP2" s="1342"/>
      <c r="AQ2" s="1342"/>
      <c r="AR2" s="1342"/>
      <c r="AS2" s="1342"/>
      <c r="AT2" s="1342"/>
      <c r="AU2" s="1342"/>
      <c r="AV2" s="1342"/>
      <c r="AW2" s="1342"/>
      <c r="AX2" s="1342"/>
      <c r="AY2" s="1342"/>
      <c r="AZ2" s="1342"/>
      <c r="BA2" s="1342"/>
      <c r="BB2" s="817"/>
      <c r="BC2" s="817"/>
      <c r="BD2" s="817"/>
      <c r="BE2" s="817"/>
      <c r="BF2" s="817"/>
    </row>
    <row r="3" spans="1:58" s="1091" customFormat="1" ht="42.75" customHeight="1" thickBot="1">
      <c r="A3" s="1343" t="s">
        <v>14</v>
      </c>
      <c r="B3" s="1345" t="s">
        <v>164</v>
      </c>
      <c r="C3" s="1346"/>
      <c r="D3" s="1345" t="s">
        <v>165</v>
      </c>
      <c r="E3" s="1346"/>
      <c r="F3" s="1345" t="s">
        <v>166</v>
      </c>
      <c r="G3" s="1346"/>
      <c r="H3" s="1349" t="s">
        <v>167</v>
      </c>
      <c r="I3" s="1346"/>
      <c r="J3" s="1345" t="s">
        <v>168</v>
      </c>
      <c r="K3" s="1346"/>
      <c r="L3" s="1345" t="s">
        <v>169</v>
      </c>
      <c r="M3" s="1346"/>
      <c r="N3" s="1345" t="s">
        <v>371</v>
      </c>
      <c r="O3" s="1346"/>
      <c r="P3" s="1345" t="s">
        <v>171</v>
      </c>
      <c r="Q3" s="1346"/>
      <c r="R3" s="1345" t="s">
        <v>172</v>
      </c>
      <c r="S3" s="1346"/>
      <c r="T3" s="1345" t="s">
        <v>173</v>
      </c>
      <c r="U3" s="1346"/>
      <c r="V3" s="1345" t="s">
        <v>174</v>
      </c>
      <c r="W3" s="1346"/>
      <c r="X3" s="1345" t="s">
        <v>175</v>
      </c>
      <c r="Y3" s="1346"/>
      <c r="Z3" s="1345" t="s">
        <v>176</v>
      </c>
      <c r="AA3" s="1349"/>
      <c r="AB3" s="1345" t="s">
        <v>177</v>
      </c>
      <c r="AC3" s="1346"/>
      <c r="AD3" s="1347" t="s">
        <v>178</v>
      </c>
      <c r="AE3" s="1350"/>
      <c r="AF3" s="1345" t="s">
        <v>179</v>
      </c>
      <c r="AG3" s="1346"/>
      <c r="AH3" s="1345" t="s">
        <v>180</v>
      </c>
      <c r="AI3" s="1349"/>
      <c r="AJ3" s="1345" t="s">
        <v>181</v>
      </c>
      <c r="AK3" s="1346"/>
      <c r="AL3" s="1347" t="s">
        <v>182</v>
      </c>
      <c r="AM3" s="1348"/>
      <c r="AN3" s="1345" t="s">
        <v>183</v>
      </c>
      <c r="AO3" s="1346"/>
      <c r="AP3" s="1345" t="s">
        <v>184</v>
      </c>
      <c r="AQ3" s="1346"/>
      <c r="AR3" s="1345" t="s">
        <v>185</v>
      </c>
      <c r="AS3" s="1346"/>
      <c r="AT3" s="1345" t="s">
        <v>186</v>
      </c>
      <c r="AU3" s="1346"/>
      <c r="AV3" s="1345" t="s">
        <v>1</v>
      </c>
      <c r="AW3" s="1346"/>
      <c r="AX3" s="1347" t="s">
        <v>187</v>
      </c>
      <c r="AY3" s="1348"/>
      <c r="AZ3" s="1347" t="s">
        <v>2</v>
      </c>
      <c r="BA3" s="1348"/>
      <c r="BB3" s="1090"/>
      <c r="BC3" s="1090"/>
      <c r="BD3" s="1090"/>
      <c r="BE3" s="1090"/>
      <c r="BF3" s="1090"/>
    </row>
    <row r="4" spans="1:58" s="395" customFormat="1" ht="17.25" thickBot="1">
      <c r="A4" s="1344"/>
      <c r="B4" s="466" t="s">
        <v>295</v>
      </c>
      <c r="C4" s="467" t="s">
        <v>363</v>
      </c>
      <c r="D4" s="466" t="s">
        <v>295</v>
      </c>
      <c r="E4" s="467" t="s">
        <v>363</v>
      </c>
      <c r="F4" s="466" t="s">
        <v>295</v>
      </c>
      <c r="G4" s="468" t="s">
        <v>363</v>
      </c>
      <c r="H4" s="467" t="s">
        <v>295</v>
      </c>
      <c r="I4" s="467" t="s">
        <v>363</v>
      </c>
      <c r="J4" s="466" t="s">
        <v>295</v>
      </c>
      <c r="K4" s="467" t="s">
        <v>363</v>
      </c>
      <c r="L4" s="466" t="s">
        <v>295</v>
      </c>
      <c r="M4" s="467" t="s">
        <v>363</v>
      </c>
      <c r="N4" s="466" t="s">
        <v>295</v>
      </c>
      <c r="O4" s="467" t="s">
        <v>363</v>
      </c>
      <c r="P4" s="466" t="s">
        <v>295</v>
      </c>
      <c r="Q4" s="467" t="s">
        <v>363</v>
      </c>
      <c r="R4" s="466" t="s">
        <v>295</v>
      </c>
      <c r="S4" s="467" t="s">
        <v>363</v>
      </c>
      <c r="T4" s="466" t="s">
        <v>295</v>
      </c>
      <c r="U4" s="467" t="s">
        <v>363</v>
      </c>
      <c r="V4" s="466" t="s">
        <v>295</v>
      </c>
      <c r="W4" s="467" t="s">
        <v>363</v>
      </c>
      <c r="X4" s="466" t="s">
        <v>295</v>
      </c>
      <c r="Y4" s="468" t="s">
        <v>363</v>
      </c>
      <c r="Z4" s="466" t="s">
        <v>295</v>
      </c>
      <c r="AA4" s="467" t="s">
        <v>363</v>
      </c>
      <c r="AB4" s="466" t="s">
        <v>295</v>
      </c>
      <c r="AC4" s="468" t="s">
        <v>363</v>
      </c>
      <c r="AD4" s="466" t="s">
        <v>295</v>
      </c>
      <c r="AE4" s="467" t="s">
        <v>363</v>
      </c>
      <c r="AF4" s="466" t="s">
        <v>295</v>
      </c>
      <c r="AG4" s="468" t="s">
        <v>363</v>
      </c>
      <c r="AH4" s="466" t="s">
        <v>295</v>
      </c>
      <c r="AI4" s="467" t="s">
        <v>363</v>
      </c>
      <c r="AJ4" s="466" t="s">
        <v>295</v>
      </c>
      <c r="AK4" s="468" t="s">
        <v>363</v>
      </c>
      <c r="AL4" s="466" t="s">
        <v>295</v>
      </c>
      <c r="AM4" s="467" t="s">
        <v>363</v>
      </c>
      <c r="AN4" s="466" t="s">
        <v>295</v>
      </c>
      <c r="AO4" s="467" t="s">
        <v>363</v>
      </c>
      <c r="AP4" s="466" t="s">
        <v>295</v>
      </c>
      <c r="AQ4" s="467" t="s">
        <v>363</v>
      </c>
      <c r="AR4" s="466" t="s">
        <v>295</v>
      </c>
      <c r="AS4" s="467" t="s">
        <v>363</v>
      </c>
      <c r="AT4" s="466" t="s">
        <v>295</v>
      </c>
      <c r="AU4" s="467" t="s">
        <v>363</v>
      </c>
      <c r="AV4" s="466" t="s">
        <v>295</v>
      </c>
      <c r="AW4" s="467" t="s">
        <v>363</v>
      </c>
      <c r="AX4" s="466" t="s">
        <v>295</v>
      </c>
      <c r="AY4" s="467" t="s">
        <v>363</v>
      </c>
      <c r="AZ4" s="466" t="s">
        <v>295</v>
      </c>
      <c r="BA4" s="468" t="s">
        <v>363</v>
      </c>
      <c r="BB4" s="459"/>
      <c r="BC4" s="459"/>
      <c r="BD4" s="459"/>
      <c r="BE4" s="459"/>
      <c r="BF4" s="818"/>
    </row>
    <row r="5" spans="1:58" ht="17.25">
      <c r="A5" s="222" t="s">
        <v>3</v>
      </c>
      <c r="B5" s="342">
        <v>159</v>
      </c>
      <c r="C5" s="343">
        <v>131</v>
      </c>
      <c r="D5" s="344">
        <v>0.02</v>
      </c>
      <c r="E5" s="345">
        <v>0.01</v>
      </c>
      <c r="F5" s="344">
        <v>8.5299999999999994</v>
      </c>
      <c r="G5" s="347">
        <v>0.13</v>
      </c>
      <c r="H5" s="348">
        <v>195</v>
      </c>
      <c r="I5" s="345">
        <v>149</v>
      </c>
      <c r="J5" s="344">
        <v>40</v>
      </c>
      <c r="K5" s="345">
        <v>37.56</v>
      </c>
      <c r="L5" s="344"/>
      <c r="M5" s="345">
        <v>0.43</v>
      </c>
      <c r="N5" s="344">
        <v>15.88</v>
      </c>
      <c r="O5" s="345">
        <v>11.6</v>
      </c>
      <c r="P5" s="349">
        <v>26.16</v>
      </c>
      <c r="Q5" s="350">
        <v>29.15</v>
      </c>
      <c r="R5" s="349">
        <v>74.14</v>
      </c>
      <c r="S5" s="41">
        <v>66.44</v>
      </c>
      <c r="T5" s="349">
        <v>6.78</v>
      </c>
      <c r="U5" s="41">
        <v>4.87</v>
      </c>
      <c r="V5" s="349">
        <v>256</v>
      </c>
      <c r="W5" s="41">
        <v>177.78</v>
      </c>
      <c r="X5" s="349">
        <v>333.5</v>
      </c>
      <c r="Y5" s="49">
        <v>250</v>
      </c>
      <c r="Z5" s="608">
        <v>6.79</v>
      </c>
      <c r="AA5" s="1092">
        <v>4.1900000000000004</v>
      </c>
      <c r="AB5" s="349">
        <v>5.09</v>
      </c>
      <c r="AC5" s="347">
        <v>2.52</v>
      </c>
      <c r="AD5" s="344">
        <v>121.08</v>
      </c>
      <c r="AE5" s="346">
        <v>91.55</v>
      </c>
      <c r="AF5" s="344">
        <v>214</v>
      </c>
      <c r="AG5" s="347">
        <v>235.97</v>
      </c>
      <c r="AH5" s="344">
        <v>11.6</v>
      </c>
      <c r="AI5" s="346">
        <v>12.58</v>
      </c>
      <c r="AJ5" s="344">
        <v>117.05</v>
      </c>
      <c r="AK5" s="347">
        <v>74.900000000000006</v>
      </c>
      <c r="AL5" s="610"/>
      <c r="AM5" s="345"/>
      <c r="AN5" s="830">
        <v>559</v>
      </c>
      <c r="AO5" s="351">
        <v>435</v>
      </c>
      <c r="AP5" s="352">
        <v>5.6</v>
      </c>
      <c r="AQ5" s="353">
        <v>3.33</v>
      </c>
      <c r="AR5" s="356">
        <v>0.11</v>
      </c>
      <c r="AS5" s="354"/>
      <c r="AT5" s="344">
        <v>150.75</v>
      </c>
      <c r="AU5" s="345">
        <v>186.35</v>
      </c>
      <c r="AV5" s="357">
        <f t="shared" ref="AV5:AV18" si="0">SUM(B5+D5+F5+H5+J5+L5+N5+P5+R5+T5+V5+X5+Z5+AB5+AD5+AF5+AH5+AJ5+AL5+AN5+AP5+AR5+AT5)</f>
        <v>2306.08</v>
      </c>
      <c r="AW5" s="355">
        <f t="shared" ref="AW5:AW18" si="1">SUM(C5+E5+G5+I5+K5+M5+O5+Q5+S5+U5+W5+Y5+AA5+AC5+AE5+AG5+AI5+AK5+AM5+AO5+AQ5+AS5+AU5)</f>
        <v>1904.36</v>
      </c>
      <c r="AX5" s="356">
        <v>8729.15</v>
      </c>
      <c r="AY5" s="354">
        <v>7674.16</v>
      </c>
      <c r="AZ5" s="357">
        <f t="shared" ref="AZ5:AZ18" si="2">AV5+AX5</f>
        <v>11035.23</v>
      </c>
      <c r="BA5" s="358">
        <f t="shared" ref="BA5:BA18" si="3">AW5+AY5</f>
        <v>9578.52</v>
      </c>
    </row>
    <row r="6" spans="1:58" ht="17.25">
      <c r="A6" s="95" t="s">
        <v>4</v>
      </c>
      <c r="B6" s="221">
        <v>143</v>
      </c>
      <c r="C6" s="60">
        <v>184</v>
      </c>
      <c r="D6" s="61">
        <v>0.04</v>
      </c>
      <c r="E6" s="62">
        <v>1E-3</v>
      </c>
      <c r="F6" s="61">
        <v>1.64</v>
      </c>
      <c r="G6" s="64">
        <v>0.05</v>
      </c>
      <c r="H6" s="67">
        <v>35</v>
      </c>
      <c r="I6" s="62">
        <v>73</v>
      </c>
      <c r="J6" s="61">
        <v>2</v>
      </c>
      <c r="K6" s="62">
        <v>3.97</v>
      </c>
      <c r="L6" s="344">
        <v>172.29</v>
      </c>
      <c r="M6" s="345">
        <v>184.03</v>
      </c>
      <c r="N6" s="61">
        <v>2.31</v>
      </c>
      <c r="O6" s="62">
        <v>0.49</v>
      </c>
      <c r="P6" s="2">
        <v>3.89</v>
      </c>
      <c r="Q6" s="65">
        <v>6.51</v>
      </c>
      <c r="R6" s="2">
        <v>7.47</v>
      </c>
      <c r="S6" s="3">
        <v>3.28</v>
      </c>
      <c r="T6" s="2">
        <v>9.7899999999999991</v>
      </c>
      <c r="U6" s="3">
        <v>9.7899999999999991</v>
      </c>
      <c r="V6" s="2">
        <v>849</v>
      </c>
      <c r="W6" s="3">
        <v>675.61</v>
      </c>
      <c r="X6" s="2">
        <v>793.3</v>
      </c>
      <c r="Y6" s="4">
        <v>382</v>
      </c>
      <c r="Z6" s="208">
        <v>65.72</v>
      </c>
      <c r="AA6" s="1093">
        <v>48.66</v>
      </c>
      <c r="AB6" s="2">
        <v>107.93</v>
      </c>
      <c r="AC6" s="64">
        <v>62.69</v>
      </c>
      <c r="AD6" s="61">
        <v>133.94999999999999</v>
      </c>
      <c r="AE6" s="63">
        <v>181.23</v>
      </c>
      <c r="AF6" s="61">
        <v>462</v>
      </c>
      <c r="AG6" s="64">
        <v>461.82</v>
      </c>
      <c r="AH6" s="61">
        <v>151.41999999999999</v>
      </c>
      <c r="AI6" s="63">
        <v>126.01</v>
      </c>
      <c r="AJ6" s="61">
        <v>4.5199999999999996</v>
      </c>
      <c r="AK6" s="64">
        <v>1.38</v>
      </c>
      <c r="AL6" s="611"/>
      <c r="AM6" s="62"/>
      <c r="AN6" s="801">
        <v>1266</v>
      </c>
      <c r="AO6" s="75">
        <v>826</v>
      </c>
      <c r="AP6" s="69">
        <v>0.35</v>
      </c>
      <c r="AQ6" s="70">
        <v>0.24</v>
      </c>
      <c r="AR6" s="73">
        <v>94.57</v>
      </c>
      <c r="AS6" s="71">
        <v>67.62</v>
      </c>
      <c r="AT6" s="61">
        <v>336.63</v>
      </c>
      <c r="AU6" s="62">
        <v>406.87</v>
      </c>
      <c r="AV6" s="357">
        <f t="shared" si="0"/>
        <v>4642.82</v>
      </c>
      <c r="AW6" s="355">
        <f t="shared" si="1"/>
        <v>3705.2510000000002</v>
      </c>
      <c r="AX6" s="73">
        <v>229.11</v>
      </c>
      <c r="AY6" s="71">
        <v>180.85</v>
      </c>
      <c r="AZ6" s="74">
        <f t="shared" si="2"/>
        <v>4871.9299999999994</v>
      </c>
      <c r="BA6" s="223">
        <f t="shared" si="3"/>
        <v>3886.1010000000001</v>
      </c>
    </row>
    <row r="7" spans="1:58" ht="17.25">
      <c r="A7" s="95" t="s">
        <v>5</v>
      </c>
      <c r="B7" s="221"/>
      <c r="C7" s="60">
        <v>1</v>
      </c>
      <c r="D7" s="61">
        <v>0.61</v>
      </c>
      <c r="E7" s="62">
        <v>1.39</v>
      </c>
      <c r="F7" s="61">
        <v>3.74</v>
      </c>
      <c r="G7" s="64">
        <v>0.03</v>
      </c>
      <c r="H7" s="67">
        <v>13</v>
      </c>
      <c r="I7" s="62">
        <v>15</v>
      </c>
      <c r="J7" s="61">
        <v>8</v>
      </c>
      <c r="K7" s="62">
        <v>10.16</v>
      </c>
      <c r="L7" s="61">
        <v>0.18</v>
      </c>
      <c r="M7" s="62">
        <v>0.02</v>
      </c>
      <c r="N7" s="61">
        <v>1.04</v>
      </c>
      <c r="O7" s="62">
        <v>0.35</v>
      </c>
      <c r="P7" s="2">
        <v>7.78</v>
      </c>
      <c r="Q7" s="65">
        <v>3.66</v>
      </c>
      <c r="R7" s="2">
        <v>5.63</v>
      </c>
      <c r="S7" s="3">
        <v>0.69</v>
      </c>
      <c r="T7" s="2">
        <v>5.08</v>
      </c>
      <c r="U7" s="3">
        <v>2.46</v>
      </c>
      <c r="V7" s="2">
        <v>78.680000000000007</v>
      </c>
      <c r="W7" s="3">
        <v>41.06</v>
      </c>
      <c r="X7" s="2">
        <v>37.4</v>
      </c>
      <c r="Y7" s="4">
        <v>32</v>
      </c>
      <c r="Z7" s="208"/>
      <c r="AA7" s="1093"/>
      <c r="AB7" s="2">
        <v>4.09</v>
      </c>
      <c r="AC7" s="64">
        <v>2.98</v>
      </c>
      <c r="AD7" s="61">
        <v>0.4</v>
      </c>
      <c r="AE7" s="63">
        <v>2.21</v>
      </c>
      <c r="AF7" s="61">
        <v>15</v>
      </c>
      <c r="AG7" s="64">
        <v>11.02</v>
      </c>
      <c r="AH7" s="61"/>
      <c r="AI7" s="63">
        <v>1.1599999999999999</v>
      </c>
      <c r="AJ7" s="61">
        <v>14.28</v>
      </c>
      <c r="AK7" s="64">
        <v>4.28</v>
      </c>
      <c r="AL7" s="611"/>
      <c r="AM7" s="62"/>
      <c r="AN7" s="802">
        <v>18</v>
      </c>
      <c r="AO7" s="68">
        <v>28</v>
      </c>
      <c r="AP7" s="69">
        <v>35.96</v>
      </c>
      <c r="AQ7" s="70">
        <v>26.7</v>
      </c>
      <c r="AR7" s="73"/>
      <c r="AS7" s="71"/>
      <c r="AT7" s="61">
        <v>7.3</v>
      </c>
      <c r="AU7" s="62">
        <v>6.87</v>
      </c>
      <c r="AV7" s="357">
        <f t="shared" si="0"/>
        <v>256.17</v>
      </c>
      <c r="AW7" s="355">
        <f t="shared" si="1"/>
        <v>191.03999999999996</v>
      </c>
      <c r="AX7" s="73">
        <v>7.17</v>
      </c>
      <c r="AY7" s="71">
        <v>4.33</v>
      </c>
      <c r="AZ7" s="74">
        <f t="shared" si="2"/>
        <v>263.34000000000003</v>
      </c>
      <c r="BA7" s="223">
        <f t="shared" si="3"/>
        <v>195.36999999999998</v>
      </c>
    </row>
    <row r="8" spans="1:58" ht="17.25">
      <c r="A8" s="95" t="s">
        <v>6</v>
      </c>
      <c r="B8" s="221">
        <v>10</v>
      </c>
      <c r="C8" s="60">
        <v>1</v>
      </c>
      <c r="D8" s="61">
        <v>0.35</v>
      </c>
      <c r="E8" s="62">
        <v>1.25</v>
      </c>
      <c r="F8" s="61">
        <v>0.91</v>
      </c>
      <c r="G8" s="64">
        <v>0.01</v>
      </c>
      <c r="H8" s="67">
        <v>14</v>
      </c>
      <c r="I8" s="62">
        <v>13</v>
      </c>
      <c r="J8" s="61">
        <v>68</v>
      </c>
      <c r="K8" s="62">
        <v>32.92</v>
      </c>
      <c r="L8" s="61"/>
      <c r="M8" s="62">
        <v>0.67</v>
      </c>
      <c r="N8" s="61">
        <v>-0.08</v>
      </c>
      <c r="O8" s="62">
        <v>-0.02</v>
      </c>
      <c r="P8" s="2">
        <v>1.78</v>
      </c>
      <c r="Q8" s="65">
        <v>3.28</v>
      </c>
      <c r="R8" s="2">
        <v>45.38</v>
      </c>
      <c r="S8" s="3">
        <v>11.32</v>
      </c>
      <c r="T8" s="2">
        <v>3.12</v>
      </c>
      <c r="U8" s="3">
        <v>1.34</v>
      </c>
      <c r="V8" s="2">
        <v>101.62</v>
      </c>
      <c r="W8" s="3">
        <v>61.72</v>
      </c>
      <c r="X8" s="2">
        <v>43.8</v>
      </c>
      <c r="Y8" s="4">
        <v>35</v>
      </c>
      <c r="Z8" s="208">
        <v>0.01</v>
      </c>
      <c r="AA8" s="1093">
        <v>1.87</v>
      </c>
      <c r="AB8" s="2">
        <v>2.5099999999999998</v>
      </c>
      <c r="AC8" s="64">
        <v>0.52</v>
      </c>
      <c r="AD8" s="61">
        <v>12.96</v>
      </c>
      <c r="AE8" s="63">
        <v>8.0299999999999994</v>
      </c>
      <c r="AF8" s="61">
        <v>1</v>
      </c>
      <c r="AG8" s="64">
        <v>0.72</v>
      </c>
      <c r="AH8" s="61">
        <v>2.92</v>
      </c>
      <c r="AI8" s="63">
        <v>4.01</v>
      </c>
      <c r="AJ8" s="61">
        <v>13.59</v>
      </c>
      <c r="AK8" s="64">
        <v>3.87</v>
      </c>
      <c r="AL8" s="611"/>
      <c r="AM8" s="62"/>
      <c r="AN8" s="802"/>
      <c r="AO8" s="68">
        <v>1</v>
      </c>
      <c r="AP8" s="69">
        <v>3.79</v>
      </c>
      <c r="AQ8" s="70">
        <v>5.45</v>
      </c>
      <c r="AR8" s="73">
        <v>-4.0000000000000001E-3</v>
      </c>
      <c r="AS8" s="71"/>
      <c r="AT8" s="61">
        <v>36.619999999999997</v>
      </c>
      <c r="AU8" s="62">
        <v>42.8</v>
      </c>
      <c r="AV8" s="357">
        <f t="shared" si="0"/>
        <v>362.27599999999995</v>
      </c>
      <c r="AW8" s="355">
        <f t="shared" si="1"/>
        <v>229.76</v>
      </c>
      <c r="AX8" s="73">
        <v>4.34</v>
      </c>
      <c r="AY8" s="71">
        <v>4.6500000000000004</v>
      </c>
      <c r="AZ8" s="74">
        <f t="shared" si="2"/>
        <v>366.61599999999993</v>
      </c>
      <c r="BA8" s="223">
        <f t="shared" si="3"/>
        <v>234.41</v>
      </c>
    </row>
    <row r="9" spans="1:58" ht="17.25">
      <c r="A9" s="95" t="s">
        <v>7</v>
      </c>
      <c r="B9" s="83"/>
      <c r="C9" s="40"/>
      <c r="D9" s="74"/>
      <c r="E9" s="77"/>
      <c r="F9" s="74"/>
      <c r="G9" s="1089"/>
      <c r="H9" s="72"/>
      <c r="I9" s="77"/>
      <c r="J9" s="74"/>
      <c r="K9" s="77"/>
      <c r="L9" s="74"/>
      <c r="M9" s="77"/>
      <c r="N9" s="74"/>
      <c r="O9" s="77"/>
      <c r="P9" s="6"/>
      <c r="Q9" s="65"/>
      <c r="R9" s="6"/>
      <c r="S9" s="7"/>
      <c r="T9" s="6"/>
      <c r="U9" s="7"/>
      <c r="V9" s="6"/>
      <c r="W9" s="7"/>
      <c r="X9" s="6"/>
      <c r="Y9" s="8"/>
      <c r="Z9" s="208"/>
      <c r="AA9" s="1093"/>
      <c r="AB9" s="6"/>
      <c r="AC9" s="1089"/>
      <c r="AD9" s="609">
        <v>0.03</v>
      </c>
      <c r="AE9" s="1094">
        <v>0.01</v>
      </c>
      <c r="AF9" s="74"/>
      <c r="AG9" s="1089"/>
      <c r="AH9" s="74"/>
      <c r="AI9" s="1088"/>
      <c r="AJ9" s="74"/>
      <c r="AK9" s="1089"/>
      <c r="AL9" s="611"/>
      <c r="AM9" s="62"/>
      <c r="AN9" s="803"/>
      <c r="AO9" s="12"/>
      <c r="AP9" s="69"/>
      <c r="AQ9" s="70"/>
      <c r="AR9" s="73"/>
      <c r="AS9" s="71"/>
      <c r="AT9" s="74">
        <v>0.12</v>
      </c>
      <c r="AU9" s="77">
        <v>0.15</v>
      </c>
      <c r="AV9" s="357">
        <f t="shared" si="0"/>
        <v>0.15</v>
      </c>
      <c r="AW9" s="355">
        <f t="shared" si="1"/>
        <v>0.16</v>
      </c>
      <c r="AX9" s="74">
        <v>4.17</v>
      </c>
      <c r="AY9" s="77">
        <v>21.72</v>
      </c>
      <c r="AZ9" s="74">
        <f t="shared" si="2"/>
        <v>4.32</v>
      </c>
      <c r="BA9" s="223">
        <f t="shared" si="3"/>
        <v>21.88</v>
      </c>
    </row>
    <row r="10" spans="1:58" ht="17.25">
      <c r="A10" s="95" t="s">
        <v>15</v>
      </c>
      <c r="B10" s="221"/>
      <c r="C10" s="60"/>
      <c r="D10" s="61"/>
      <c r="E10" s="62"/>
      <c r="F10" s="61"/>
      <c r="G10" s="64"/>
      <c r="H10" s="67"/>
      <c r="I10" s="62"/>
      <c r="J10" s="61"/>
      <c r="K10" s="62"/>
      <c r="L10" s="61"/>
      <c r="M10" s="62"/>
      <c r="N10" s="61"/>
      <c r="O10" s="62"/>
      <c r="P10" s="2"/>
      <c r="Q10" s="65"/>
      <c r="R10" s="2"/>
      <c r="S10" s="3"/>
      <c r="T10" s="2"/>
      <c r="U10" s="3"/>
      <c r="V10" s="2"/>
      <c r="W10" s="3"/>
      <c r="X10" s="2"/>
      <c r="Y10" s="4"/>
      <c r="Z10" s="2"/>
      <c r="AA10" s="207"/>
      <c r="AB10" s="2">
        <v>0.48</v>
      </c>
      <c r="AC10" s="64">
        <v>0.64</v>
      </c>
      <c r="AD10" s="61"/>
      <c r="AE10" s="63"/>
      <c r="AF10" s="61"/>
      <c r="AG10" s="64"/>
      <c r="AH10" s="61"/>
      <c r="AI10" s="63"/>
      <c r="AJ10" s="61"/>
      <c r="AK10" s="64"/>
      <c r="AL10" s="611"/>
      <c r="AM10" s="62"/>
      <c r="AN10" s="803"/>
      <c r="AO10" s="68"/>
      <c r="AP10" s="69"/>
      <c r="AQ10" s="70"/>
      <c r="AR10" s="73"/>
      <c r="AS10" s="71"/>
      <c r="AT10" s="61"/>
      <c r="AU10" s="62"/>
      <c r="AV10" s="357">
        <f t="shared" si="0"/>
        <v>0.48</v>
      </c>
      <c r="AW10" s="355">
        <f t="shared" si="1"/>
        <v>0.64</v>
      </c>
      <c r="AX10" s="73"/>
      <c r="AY10" s="71"/>
      <c r="AZ10" s="74">
        <f t="shared" si="2"/>
        <v>0.48</v>
      </c>
      <c r="BA10" s="223">
        <f t="shared" si="3"/>
        <v>0.64</v>
      </c>
    </row>
    <row r="11" spans="1:58" ht="17.25">
      <c r="A11" s="95" t="s">
        <v>8</v>
      </c>
      <c r="B11" s="221">
        <v>10</v>
      </c>
      <c r="C11" s="60">
        <v>11</v>
      </c>
      <c r="D11" s="61">
        <v>17.420000000000002</v>
      </c>
      <c r="E11" s="62">
        <v>6.45</v>
      </c>
      <c r="F11" s="61">
        <v>7.98</v>
      </c>
      <c r="G11" s="64">
        <v>0.08</v>
      </c>
      <c r="H11" s="67">
        <v>34</v>
      </c>
      <c r="I11" s="62">
        <v>33</v>
      </c>
      <c r="J11" s="61">
        <v>14</v>
      </c>
      <c r="K11" s="62">
        <v>10</v>
      </c>
      <c r="L11" s="61">
        <v>2.86</v>
      </c>
      <c r="M11" s="62">
        <v>3.8</v>
      </c>
      <c r="N11" s="61">
        <v>25.92</v>
      </c>
      <c r="O11" s="62">
        <v>16.399999999999999</v>
      </c>
      <c r="P11" s="2">
        <v>8.91</v>
      </c>
      <c r="Q11" s="65">
        <v>15.46</v>
      </c>
      <c r="R11" s="2">
        <v>6.87</v>
      </c>
      <c r="S11" s="3">
        <v>7.38</v>
      </c>
      <c r="T11" s="2">
        <v>32.25</v>
      </c>
      <c r="U11" s="3">
        <v>36.659999999999997</v>
      </c>
      <c r="V11" s="2">
        <v>648.51</v>
      </c>
      <c r="W11" s="3">
        <v>584.5</v>
      </c>
      <c r="X11" s="2">
        <v>290.5</v>
      </c>
      <c r="Y11" s="4">
        <v>163</v>
      </c>
      <c r="Z11" s="2">
        <v>0.34</v>
      </c>
      <c r="AA11" s="207">
        <v>2.09</v>
      </c>
      <c r="AB11" s="2">
        <v>2.93</v>
      </c>
      <c r="AC11" s="64">
        <v>4.68</v>
      </c>
      <c r="AD11" s="61">
        <v>31.09</v>
      </c>
      <c r="AE11" s="63">
        <v>72.16</v>
      </c>
      <c r="AF11" s="61">
        <v>134</v>
      </c>
      <c r="AG11" s="64">
        <v>150.19999999999999</v>
      </c>
      <c r="AH11" s="61">
        <v>76.45</v>
      </c>
      <c r="AI11" s="63">
        <v>54.87</v>
      </c>
      <c r="AJ11" s="61">
        <v>63.71</v>
      </c>
      <c r="AK11" s="64">
        <v>69.84</v>
      </c>
      <c r="AL11" s="611"/>
      <c r="AM11" s="62"/>
      <c r="AN11" s="802">
        <v>30</v>
      </c>
      <c r="AO11" s="68">
        <v>47</v>
      </c>
      <c r="AP11" s="69">
        <v>41.1</v>
      </c>
      <c r="AQ11" s="70">
        <v>36.44</v>
      </c>
      <c r="AR11" s="73">
        <v>0.74</v>
      </c>
      <c r="AS11" s="71">
        <v>2.37</v>
      </c>
      <c r="AT11" s="61">
        <v>24.19</v>
      </c>
      <c r="AU11" s="62">
        <v>28.19</v>
      </c>
      <c r="AV11" s="357">
        <f t="shared" si="0"/>
        <v>1503.77</v>
      </c>
      <c r="AW11" s="355">
        <f t="shared" si="1"/>
        <v>1355.5699999999997</v>
      </c>
      <c r="AX11" s="73">
        <v>173.59</v>
      </c>
      <c r="AY11" s="71">
        <v>189.17</v>
      </c>
      <c r="AZ11" s="74">
        <f t="shared" si="2"/>
        <v>1677.36</v>
      </c>
      <c r="BA11" s="223">
        <f t="shared" si="3"/>
        <v>1544.7399999999998</v>
      </c>
    </row>
    <row r="12" spans="1:58" ht="17.25">
      <c r="A12" s="95" t="s">
        <v>16</v>
      </c>
      <c r="B12" s="221"/>
      <c r="C12" s="60"/>
      <c r="D12" s="61"/>
      <c r="E12" s="62"/>
      <c r="F12" s="61"/>
      <c r="G12" s="64"/>
      <c r="H12" s="67"/>
      <c r="I12" s="62">
        <v>11</v>
      </c>
      <c r="J12" s="61"/>
      <c r="K12" s="62"/>
      <c r="L12" s="61"/>
      <c r="M12" s="62"/>
      <c r="N12" s="341"/>
      <c r="O12" s="62"/>
      <c r="P12" s="2"/>
      <c r="Q12" s="65"/>
      <c r="R12" s="2">
        <v>0.05</v>
      </c>
      <c r="S12" s="3">
        <v>3.93</v>
      </c>
      <c r="T12" s="2"/>
      <c r="U12" s="3"/>
      <c r="V12" s="2"/>
      <c r="W12" s="3"/>
      <c r="X12" s="2"/>
      <c r="Y12" s="4"/>
      <c r="Z12" s="2"/>
      <c r="AA12" s="207"/>
      <c r="AB12" s="2"/>
      <c r="AC12" s="64"/>
      <c r="AD12" s="61">
        <v>0.53</v>
      </c>
      <c r="AE12" s="63">
        <v>0.03</v>
      </c>
      <c r="AF12" s="61"/>
      <c r="AG12" s="64"/>
      <c r="AH12" s="61"/>
      <c r="AI12" s="63"/>
      <c r="AJ12" s="61"/>
      <c r="AK12" s="64"/>
      <c r="AL12" s="611"/>
      <c r="AM12" s="62"/>
      <c r="AN12" s="802"/>
      <c r="AO12" s="68"/>
      <c r="AP12" s="69"/>
      <c r="AQ12" s="70"/>
      <c r="AR12" s="73"/>
      <c r="AS12" s="71"/>
      <c r="AT12" s="61"/>
      <c r="AU12" s="62"/>
      <c r="AV12" s="357">
        <f t="shared" si="0"/>
        <v>0.58000000000000007</v>
      </c>
      <c r="AW12" s="355">
        <f t="shared" si="1"/>
        <v>14.959999999999999</v>
      </c>
      <c r="AX12" s="73"/>
      <c r="AY12" s="71"/>
      <c r="AZ12" s="74">
        <f t="shared" si="2"/>
        <v>0.58000000000000007</v>
      </c>
      <c r="BA12" s="223">
        <f t="shared" si="3"/>
        <v>14.959999999999999</v>
      </c>
    </row>
    <row r="13" spans="1:58" ht="17.25">
      <c r="A13" s="95" t="s">
        <v>17</v>
      </c>
      <c r="B13" s="221"/>
      <c r="C13" s="60"/>
      <c r="D13" s="61"/>
      <c r="E13" s="62"/>
      <c r="F13" s="61"/>
      <c r="G13" s="64"/>
      <c r="H13" s="67"/>
      <c r="I13" s="62"/>
      <c r="J13" s="61"/>
      <c r="K13" s="62"/>
      <c r="L13" s="61"/>
      <c r="M13" s="62"/>
      <c r="N13" s="61"/>
      <c r="O13" s="62"/>
      <c r="P13" s="2"/>
      <c r="Q13" s="65"/>
      <c r="R13" s="2"/>
      <c r="S13" s="3"/>
      <c r="T13" s="2"/>
      <c r="U13" s="3"/>
      <c r="V13" s="2">
        <v>1.07</v>
      </c>
      <c r="W13" s="3">
        <v>1.1100000000000001</v>
      </c>
      <c r="X13" s="2">
        <v>3</v>
      </c>
      <c r="Y13" s="4">
        <v>10</v>
      </c>
      <c r="Z13" s="2"/>
      <c r="AA13" s="207"/>
      <c r="AB13" s="2"/>
      <c r="AC13" s="64"/>
      <c r="AD13" s="61"/>
      <c r="AE13" s="63"/>
      <c r="AF13" s="61"/>
      <c r="AG13" s="64"/>
      <c r="AH13" s="61"/>
      <c r="AI13" s="63"/>
      <c r="AJ13" s="61"/>
      <c r="AK13" s="64"/>
      <c r="AL13" s="611"/>
      <c r="AM13" s="62"/>
      <c r="AN13" s="802"/>
      <c r="AO13" s="68"/>
      <c r="AP13" s="69"/>
      <c r="AQ13" s="70"/>
      <c r="AR13" s="73"/>
      <c r="AS13" s="71"/>
      <c r="AT13" s="61"/>
      <c r="AU13" s="62"/>
      <c r="AV13" s="357">
        <f t="shared" si="0"/>
        <v>4.07</v>
      </c>
      <c r="AW13" s="355">
        <f t="shared" si="1"/>
        <v>11.11</v>
      </c>
      <c r="AX13" s="73">
        <v>0.73</v>
      </c>
      <c r="AY13" s="71">
        <v>1.92</v>
      </c>
      <c r="AZ13" s="74">
        <f t="shared" si="2"/>
        <v>4.8000000000000007</v>
      </c>
      <c r="BA13" s="223">
        <f t="shared" si="3"/>
        <v>13.03</v>
      </c>
    </row>
    <row r="14" spans="1:58" ht="17.25">
      <c r="A14" s="95" t="s">
        <v>196</v>
      </c>
      <c r="B14" s="221"/>
      <c r="C14" s="60"/>
      <c r="D14" s="61"/>
      <c r="E14" s="62"/>
      <c r="F14" s="61"/>
      <c r="G14" s="64"/>
      <c r="H14" s="67">
        <v>55</v>
      </c>
      <c r="I14" s="62">
        <v>13</v>
      </c>
      <c r="J14" s="61"/>
      <c r="K14" s="62"/>
      <c r="L14" s="61"/>
      <c r="M14" s="62"/>
      <c r="N14" s="61"/>
      <c r="O14" s="62"/>
      <c r="P14" s="2"/>
      <c r="Q14" s="65"/>
      <c r="R14" s="2"/>
      <c r="S14" s="3"/>
      <c r="T14" s="2"/>
      <c r="U14" s="3"/>
      <c r="V14" s="2"/>
      <c r="W14" s="3"/>
      <c r="X14" s="2">
        <v>18.899999999999999</v>
      </c>
      <c r="Y14" s="4">
        <v>23</v>
      </c>
      <c r="Z14" s="2"/>
      <c r="AA14" s="207"/>
      <c r="AB14" s="2"/>
      <c r="AC14" s="64"/>
      <c r="AD14" s="61"/>
      <c r="AE14" s="63"/>
      <c r="AF14" s="61"/>
      <c r="AG14" s="64"/>
      <c r="AH14" s="61"/>
      <c r="AI14" s="63"/>
      <c r="AJ14" s="61"/>
      <c r="AK14" s="64"/>
      <c r="AL14" s="611"/>
      <c r="AM14" s="62"/>
      <c r="AN14" s="802"/>
      <c r="AO14" s="68"/>
      <c r="AP14" s="69"/>
      <c r="AQ14" s="70"/>
      <c r="AR14" s="73"/>
      <c r="AS14" s="71"/>
      <c r="AT14" s="61"/>
      <c r="AU14" s="62"/>
      <c r="AV14" s="357">
        <f t="shared" si="0"/>
        <v>73.900000000000006</v>
      </c>
      <c r="AW14" s="355">
        <f t="shared" si="1"/>
        <v>36</v>
      </c>
      <c r="AX14" s="73"/>
      <c r="AY14" s="71"/>
      <c r="AZ14" s="74">
        <f t="shared" si="2"/>
        <v>73.900000000000006</v>
      </c>
      <c r="BA14" s="223">
        <f t="shared" si="3"/>
        <v>36</v>
      </c>
    </row>
    <row r="15" spans="1:58" ht="18" thickBot="1">
      <c r="A15" s="224" t="s">
        <v>19</v>
      </c>
      <c r="B15" s="248"/>
      <c r="C15" s="249"/>
      <c r="D15" s="225"/>
      <c r="E15" s="226"/>
      <c r="F15" s="225"/>
      <c r="G15" s="228"/>
      <c r="H15" s="229"/>
      <c r="I15" s="226">
        <v>38</v>
      </c>
      <c r="J15" s="225"/>
      <c r="K15" s="226"/>
      <c r="L15" s="225"/>
      <c r="M15" s="226"/>
      <c r="N15" s="225"/>
      <c r="O15" s="226"/>
      <c r="P15" s="250"/>
      <c r="Q15" s="251">
        <v>1.18</v>
      </c>
      <c r="R15" s="250"/>
      <c r="S15" s="252"/>
      <c r="T15" s="250"/>
      <c r="U15" s="252">
        <v>7.0000000000000007E-2</v>
      </c>
      <c r="V15" s="250">
        <v>21.86</v>
      </c>
      <c r="W15" s="252">
        <v>18.010000000000002</v>
      </c>
      <c r="X15" s="250">
        <v>12.1</v>
      </c>
      <c r="Y15" s="253">
        <v>16</v>
      </c>
      <c r="Z15" s="250"/>
      <c r="AA15" s="606"/>
      <c r="AB15" s="250"/>
      <c r="AC15" s="228"/>
      <c r="AD15" s="225"/>
      <c r="AE15" s="227"/>
      <c r="AF15" s="225"/>
      <c r="AG15" s="228"/>
      <c r="AH15" s="225"/>
      <c r="AI15" s="227">
        <v>2.67</v>
      </c>
      <c r="AJ15" s="225">
        <v>0.01</v>
      </c>
      <c r="AK15" s="228">
        <v>0.04</v>
      </c>
      <c r="AL15" s="612"/>
      <c r="AM15" s="226"/>
      <c r="AN15" s="831"/>
      <c r="AO15" s="254"/>
      <c r="AP15" s="230"/>
      <c r="AQ15" s="231"/>
      <c r="AR15" s="233"/>
      <c r="AS15" s="232"/>
      <c r="AT15" s="225"/>
      <c r="AU15" s="226">
        <v>23.31</v>
      </c>
      <c r="AV15" s="357">
        <f t="shared" si="0"/>
        <v>33.97</v>
      </c>
      <c r="AW15" s="355">
        <f t="shared" si="1"/>
        <v>99.280000000000015</v>
      </c>
      <c r="AX15" s="233"/>
      <c r="AY15" s="232"/>
      <c r="AZ15" s="234">
        <f t="shared" si="2"/>
        <v>33.97</v>
      </c>
      <c r="BA15" s="235">
        <f t="shared" si="3"/>
        <v>99.280000000000015</v>
      </c>
    </row>
    <row r="16" spans="1:58" s="405" customFormat="1" ht="18.75" thickBot="1">
      <c r="A16" s="396" t="s">
        <v>20</v>
      </c>
      <c r="B16" s="397">
        <f>SUM(B5:B15)</f>
        <v>322</v>
      </c>
      <c r="C16" s="397">
        <f t="shared" ref="C16:AH16" si="4">SUM(C5:C15)</f>
        <v>328</v>
      </c>
      <c r="D16" s="399">
        <f t="shared" si="4"/>
        <v>18.440000000000001</v>
      </c>
      <c r="E16" s="397">
        <f t="shared" si="4"/>
        <v>9.1009999999999991</v>
      </c>
      <c r="F16" s="399">
        <f t="shared" si="4"/>
        <v>22.8</v>
      </c>
      <c r="G16" s="400">
        <f t="shared" si="4"/>
        <v>0.3</v>
      </c>
      <c r="H16" s="397">
        <f t="shared" si="4"/>
        <v>346</v>
      </c>
      <c r="I16" s="397">
        <f t="shared" si="4"/>
        <v>345</v>
      </c>
      <c r="J16" s="399">
        <f t="shared" si="4"/>
        <v>132</v>
      </c>
      <c r="K16" s="397">
        <f t="shared" si="4"/>
        <v>94.61</v>
      </c>
      <c r="L16" s="399">
        <f t="shared" si="4"/>
        <v>175.33</v>
      </c>
      <c r="M16" s="397">
        <f t="shared" si="4"/>
        <v>188.95000000000002</v>
      </c>
      <c r="N16" s="399">
        <f t="shared" si="4"/>
        <v>45.070000000000007</v>
      </c>
      <c r="O16" s="397">
        <f t="shared" si="4"/>
        <v>28.82</v>
      </c>
      <c r="P16" s="399">
        <f t="shared" si="4"/>
        <v>48.519999999999996</v>
      </c>
      <c r="Q16" s="397">
        <f t="shared" si="4"/>
        <v>59.239999999999995</v>
      </c>
      <c r="R16" s="399">
        <f t="shared" si="4"/>
        <v>139.54000000000002</v>
      </c>
      <c r="S16" s="397">
        <f t="shared" si="4"/>
        <v>93.039999999999992</v>
      </c>
      <c r="T16" s="399">
        <f t="shared" si="4"/>
        <v>57.019999999999996</v>
      </c>
      <c r="U16" s="397">
        <f t="shared" si="4"/>
        <v>55.19</v>
      </c>
      <c r="V16" s="399">
        <f t="shared" si="4"/>
        <v>1956.74</v>
      </c>
      <c r="W16" s="397">
        <f t="shared" si="4"/>
        <v>1559.79</v>
      </c>
      <c r="X16" s="399">
        <f t="shared" si="4"/>
        <v>1532.5</v>
      </c>
      <c r="Y16" s="400">
        <f t="shared" si="4"/>
        <v>911</v>
      </c>
      <c r="Z16" s="399">
        <f t="shared" si="4"/>
        <v>72.860000000000014</v>
      </c>
      <c r="AA16" s="398">
        <f t="shared" si="4"/>
        <v>56.809999999999988</v>
      </c>
      <c r="AB16" s="399">
        <f t="shared" si="4"/>
        <v>123.03000000000003</v>
      </c>
      <c r="AC16" s="400">
        <f t="shared" si="4"/>
        <v>74.03</v>
      </c>
      <c r="AD16" s="399">
        <f t="shared" si="4"/>
        <v>300.03999999999991</v>
      </c>
      <c r="AE16" s="398">
        <f t="shared" si="4"/>
        <v>355.21999999999991</v>
      </c>
      <c r="AF16" s="399">
        <f t="shared" si="4"/>
        <v>826</v>
      </c>
      <c r="AG16" s="400">
        <f t="shared" si="4"/>
        <v>859.73</v>
      </c>
      <c r="AH16" s="399">
        <f t="shared" si="4"/>
        <v>242.39</v>
      </c>
      <c r="AI16" s="398">
        <f t="shared" ref="AI16:AU16" si="5">SUM(AI5:AI15)</f>
        <v>201.29999999999998</v>
      </c>
      <c r="AJ16" s="399">
        <f t="shared" si="5"/>
        <v>213.16</v>
      </c>
      <c r="AK16" s="400">
        <f t="shared" si="5"/>
        <v>154.31</v>
      </c>
      <c r="AL16" s="399">
        <f t="shared" si="5"/>
        <v>0</v>
      </c>
      <c r="AM16" s="397">
        <f t="shared" si="5"/>
        <v>0</v>
      </c>
      <c r="AN16" s="399">
        <f t="shared" si="5"/>
        <v>1873</v>
      </c>
      <c r="AO16" s="397">
        <f t="shared" si="5"/>
        <v>1337</v>
      </c>
      <c r="AP16" s="399">
        <f t="shared" si="5"/>
        <v>86.8</v>
      </c>
      <c r="AQ16" s="397">
        <f t="shared" si="5"/>
        <v>72.16</v>
      </c>
      <c r="AR16" s="399">
        <f t="shared" si="5"/>
        <v>95.415999999999983</v>
      </c>
      <c r="AS16" s="397">
        <f t="shared" si="5"/>
        <v>69.990000000000009</v>
      </c>
      <c r="AT16" s="399">
        <f t="shared" si="5"/>
        <v>555.61</v>
      </c>
      <c r="AU16" s="397">
        <f t="shared" si="5"/>
        <v>694.54</v>
      </c>
      <c r="AV16" s="403">
        <f t="shared" si="0"/>
        <v>9184.2659999999978</v>
      </c>
      <c r="AW16" s="401">
        <f t="shared" si="1"/>
        <v>7548.1310000000003</v>
      </c>
      <c r="AX16" s="402">
        <f>SUM(AX5:AX15)</f>
        <v>9148.26</v>
      </c>
      <c r="AY16" s="402">
        <f>SUM(AY5:AY15)</f>
        <v>8076.8</v>
      </c>
      <c r="AZ16" s="403">
        <f t="shared" si="2"/>
        <v>18332.525999999998</v>
      </c>
      <c r="BA16" s="404">
        <f t="shared" si="3"/>
        <v>15624.931</v>
      </c>
      <c r="BB16" s="819"/>
      <c r="BC16" s="819"/>
      <c r="BD16" s="819"/>
      <c r="BE16" s="819"/>
      <c r="BF16" s="819"/>
    </row>
    <row r="17" spans="1:58" ht="18" thickBot="1">
      <c r="A17" s="255" t="s">
        <v>11</v>
      </c>
      <c r="B17" s="256"/>
      <c r="C17" s="257"/>
      <c r="D17" s="236"/>
      <c r="E17" s="237"/>
      <c r="F17" s="236">
        <v>-0.04</v>
      </c>
      <c r="G17" s="239"/>
      <c r="H17" s="240"/>
      <c r="I17" s="237"/>
      <c r="J17" s="236"/>
      <c r="K17" s="237"/>
      <c r="L17" s="236"/>
      <c r="M17" s="237"/>
      <c r="N17" s="236">
        <v>0.33</v>
      </c>
      <c r="O17" s="237"/>
      <c r="P17" s="258"/>
      <c r="Q17" s="259"/>
      <c r="R17" s="258">
        <v>3.27</v>
      </c>
      <c r="S17" s="260">
        <v>1.74</v>
      </c>
      <c r="T17" s="258"/>
      <c r="U17" s="260"/>
      <c r="V17" s="258"/>
      <c r="W17" s="260"/>
      <c r="X17" s="258"/>
      <c r="Y17" s="261"/>
      <c r="Z17" s="258"/>
      <c r="AA17" s="607"/>
      <c r="AB17" s="236"/>
      <c r="AC17" s="239"/>
      <c r="AD17" s="236">
        <v>0.11</v>
      </c>
      <c r="AE17" s="238">
        <v>0.15</v>
      </c>
      <c r="AF17" s="236"/>
      <c r="AG17" s="239"/>
      <c r="AH17" s="236">
        <v>0.01</v>
      </c>
      <c r="AI17" s="238"/>
      <c r="AJ17" s="236"/>
      <c r="AK17" s="239"/>
      <c r="AL17" s="613"/>
      <c r="AM17" s="237"/>
      <c r="AN17" s="832"/>
      <c r="AO17" s="262"/>
      <c r="AP17" s="241"/>
      <c r="AQ17" s="242"/>
      <c r="AR17" s="245"/>
      <c r="AS17" s="243"/>
      <c r="AT17" s="236"/>
      <c r="AU17" s="237"/>
      <c r="AV17" s="246">
        <f t="shared" si="0"/>
        <v>3.6799999999999997</v>
      </c>
      <c r="AW17" s="244">
        <f t="shared" si="1"/>
        <v>1.89</v>
      </c>
      <c r="AX17" s="245"/>
      <c r="AY17" s="243"/>
      <c r="AZ17" s="246">
        <f t="shared" si="2"/>
        <v>3.6799999999999997</v>
      </c>
      <c r="BA17" s="247">
        <f t="shared" si="3"/>
        <v>1.89</v>
      </c>
    </row>
    <row r="18" spans="1:58" s="405" customFormat="1" ht="18.75" thickBot="1">
      <c r="A18" s="406" t="s">
        <v>12</v>
      </c>
      <c r="B18" s="407">
        <f>B16+B17</f>
        <v>322</v>
      </c>
      <c r="C18" s="407">
        <f t="shared" ref="C18:AH18" si="6">C16+C17</f>
        <v>328</v>
      </c>
      <c r="D18" s="409">
        <f t="shared" si="6"/>
        <v>18.440000000000001</v>
      </c>
      <c r="E18" s="407">
        <f t="shared" si="6"/>
        <v>9.1009999999999991</v>
      </c>
      <c r="F18" s="409">
        <f t="shared" si="6"/>
        <v>22.76</v>
      </c>
      <c r="G18" s="410">
        <f t="shared" si="6"/>
        <v>0.3</v>
      </c>
      <c r="H18" s="407">
        <f t="shared" si="6"/>
        <v>346</v>
      </c>
      <c r="I18" s="407">
        <f t="shared" si="6"/>
        <v>345</v>
      </c>
      <c r="J18" s="409">
        <f t="shared" si="6"/>
        <v>132</v>
      </c>
      <c r="K18" s="407">
        <f t="shared" si="6"/>
        <v>94.61</v>
      </c>
      <c r="L18" s="409">
        <f t="shared" si="6"/>
        <v>175.33</v>
      </c>
      <c r="M18" s="407">
        <f t="shared" si="6"/>
        <v>188.95000000000002</v>
      </c>
      <c r="N18" s="409">
        <f t="shared" si="6"/>
        <v>45.400000000000006</v>
      </c>
      <c r="O18" s="407">
        <f t="shared" si="6"/>
        <v>28.82</v>
      </c>
      <c r="P18" s="409">
        <f t="shared" si="6"/>
        <v>48.519999999999996</v>
      </c>
      <c r="Q18" s="407">
        <f t="shared" si="6"/>
        <v>59.239999999999995</v>
      </c>
      <c r="R18" s="409">
        <f t="shared" si="6"/>
        <v>142.81000000000003</v>
      </c>
      <c r="S18" s="407">
        <f t="shared" si="6"/>
        <v>94.779999999999987</v>
      </c>
      <c r="T18" s="409">
        <f t="shared" si="6"/>
        <v>57.019999999999996</v>
      </c>
      <c r="U18" s="407">
        <f t="shared" si="6"/>
        <v>55.19</v>
      </c>
      <c r="V18" s="409">
        <f t="shared" si="6"/>
        <v>1956.74</v>
      </c>
      <c r="W18" s="407">
        <f t="shared" si="6"/>
        <v>1559.79</v>
      </c>
      <c r="X18" s="409">
        <f t="shared" si="6"/>
        <v>1532.5</v>
      </c>
      <c r="Y18" s="410">
        <f t="shared" si="6"/>
        <v>911</v>
      </c>
      <c r="Z18" s="409">
        <f t="shared" si="6"/>
        <v>72.860000000000014</v>
      </c>
      <c r="AA18" s="408">
        <f t="shared" si="6"/>
        <v>56.809999999999988</v>
      </c>
      <c r="AB18" s="409">
        <f t="shared" si="6"/>
        <v>123.03000000000003</v>
      </c>
      <c r="AC18" s="410">
        <f t="shared" si="6"/>
        <v>74.03</v>
      </c>
      <c r="AD18" s="409">
        <f t="shared" si="6"/>
        <v>300.14999999999992</v>
      </c>
      <c r="AE18" s="408">
        <f t="shared" si="6"/>
        <v>355.36999999999989</v>
      </c>
      <c r="AF18" s="409">
        <f t="shared" si="6"/>
        <v>826</v>
      </c>
      <c r="AG18" s="410">
        <f t="shared" si="6"/>
        <v>859.73</v>
      </c>
      <c r="AH18" s="409">
        <f t="shared" si="6"/>
        <v>242.39999999999998</v>
      </c>
      <c r="AI18" s="408">
        <f t="shared" ref="AI18:AU18" si="7">AI16+AI17</f>
        <v>201.29999999999998</v>
      </c>
      <c r="AJ18" s="409">
        <f t="shared" si="7"/>
        <v>213.16</v>
      </c>
      <c r="AK18" s="410">
        <f t="shared" si="7"/>
        <v>154.31</v>
      </c>
      <c r="AL18" s="409">
        <f t="shared" si="7"/>
        <v>0</v>
      </c>
      <c r="AM18" s="407">
        <f t="shared" si="7"/>
        <v>0</v>
      </c>
      <c r="AN18" s="409">
        <f t="shared" si="7"/>
        <v>1873</v>
      </c>
      <c r="AO18" s="407">
        <f t="shared" si="7"/>
        <v>1337</v>
      </c>
      <c r="AP18" s="409">
        <f t="shared" si="7"/>
        <v>86.8</v>
      </c>
      <c r="AQ18" s="407">
        <f t="shared" si="7"/>
        <v>72.16</v>
      </c>
      <c r="AR18" s="409">
        <f t="shared" si="7"/>
        <v>95.415999999999983</v>
      </c>
      <c r="AS18" s="407">
        <f t="shared" si="7"/>
        <v>69.990000000000009</v>
      </c>
      <c r="AT18" s="409">
        <f t="shared" si="7"/>
        <v>555.61</v>
      </c>
      <c r="AU18" s="407">
        <f t="shared" si="7"/>
        <v>694.54</v>
      </c>
      <c r="AV18" s="412">
        <f t="shared" si="0"/>
        <v>9187.9459999999981</v>
      </c>
      <c r="AW18" s="411">
        <f t="shared" si="1"/>
        <v>7550.0209999999997</v>
      </c>
      <c r="AX18" s="412">
        <f>AX16+AX17</f>
        <v>9148.26</v>
      </c>
      <c r="AY18" s="412">
        <f>AY16+AY17</f>
        <v>8076.8</v>
      </c>
      <c r="AZ18" s="412">
        <f t="shared" si="2"/>
        <v>18336.205999999998</v>
      </c>
      <c r="BA18" s="413">
        <f t="shared" si="3"/>
        <v>15626.821</v>
      </c>
      <c r="BB18" s="819"/>
      <c r="BC18" s="819"/>
      <c r="BD18" s="819"/>
      <c r="BE18" s="819"/>
      <c r="BF18" s="819"/>
    </row>
    <row r="19" spans="1:58">
      <c r="AT19" s="78"/>
      <c r="AU19" s="78"/>
    </row>
  </sheetData>
  <mergeCells count="29">
    <mergeCell ref="X3:Y3"/>
    <mergeCell ref="P3:Q3"/>
    <mergeCell ref="R3:S3"/>
    <mergeCell ref="T3:U3"/>
    <mergeCell ref="V3:W3"/>
    <mergeCell ref="AF3:AG3"/>
    <mergeCell ref="Z3:AA3"/>
    <mergeCell ref="AB3:AC3"/>
    <mergeCell ref="AD3:AE3"/>
    <mergeCell ref="AT3:AU3"/>
    <mergeCell ref="AV3:AW3"/>
    <mergeCell ref="AZ3:BA3"/>
    <mergeCell ref="AX3:AY3"/>
    <mergeCell ref="B3:C3"/>
    <mergeCell ref="D3:E3"/>
    <mergeCell ref="F3:G3"/>
    <mergeCell ref="H3:I3"/>
    <mergeCell ref="J3:K3"/>
    <mergeCell ref="L3:M3"/>
    <mergeCell ref="A1:BA1"/>
    <mergeCell ref="A2:BA2"/>
    <mergeCell ref="A3:A4"/>
    <mergeCell ref="N3:O3"/>
    <mergeCell ref="AL3:AM3"/>
    <mergeCell ref="AN3:AO3"/>
    <mergeCell ref="AJ3:AK3"/>
    <mergeCell ref="AH3:AI3"/>
    <mergeCell ref="AP3:AQ3"/>
    <mergeCell ref="AR3:AS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B20"/>
  <sheetViews>
    <sheetView workbookViewId="0">
      <pane xSplit="1" topLeftCell="B1" activePane="topRight" state="frozen"/>
      <selection pane="topRight" activeCell="Q16" sqref="Q16"/>
    </sheetView>
    <sheetView topLeftCell="F1" workbookViewId="1">
      <selection activeCell="BD13" sqref="BD13"/>
    </sheetView>
  </sheetViews>
  <sheetFormatPr defaultRowHeight="14.25"/>
  <cols>
    <col min="1" max="1" width="19.85546875" style="13" customWidth="1"/>
    <col min="2" max="7" width="11.42578125" style="13" bestFit="1" customWidth="1"/>
    <col min="8" max="8" width="7.5703125" style="13" customWidth="1"/>
    <col min="9" max="9" width="9" style="13" customWidth="1"/>
    <col min="10" max="13" width="11.42578125" style="13" bestFit="1" customWidth="1"/>
    <col min="14" max="14" width="9.85546875" style="13" customWidth="1"/>
    <col min="15" max="15" width="9.140625" style="13" customWidth="1"/>
    <col min="16" max="25" width="11.42578125" style="13" bestFit="1" customWidth="1"/>
    <col min="26" max="27" width="11.42578125" style="39" bestFit="1" customWidth="1"/>
    <col min="28" max="42" width="11.42578125" style="13" bestFit="1" customWidth="1"/>
    <col min="43" max="43" width="11.42578125" style="13" customWidth="1"/>
    <col min="44" max="53" width="11.42578125" style="13" bestFit="1" customWidth="1"/>
    <col min="54" max="54" width="9.5703125" style="13" bestFit="1" customWidth="1"/>
    <col min="55" max="16384" width="9.140625" style="13"/>
  </cols>
  <sheetData>
    <row r="1" spans="1:54" ht="28.5" customHeight="1">
      <c r="A1" s="1352" t="s">
        <v>163</v>
      </c>
      <c r="B1" s="1352"/>
      <c r="C1" s="1352"/>
      <c r="D1" s="1352"/>
      <c r="E1" s="1352"/>
      <c r="F1" s="1352"/>
      <c r="G1" s="1352"/>
      <c r="H1" s="1352"/>
      <c r="I1" s="1352"/>
      <c r="J1" s="1352"/>
      <c r="K1" s="1352"/>
      <c r="L1" s="1352"/>
      <c r="M1" s="1352"/>
      <c r="N1" s="1352"/>
      <c r="O1" s="1352"/>
      <c r="P1" s="1352"/>
      <c r="Q1" s="1352"/>
      <c r="R1" s="1352"/>
      <c r="S1" s="1352"/>
      <c r="T1" s="1352"/>
      <c r="U1" s="1352"/>
      <c r="V1" s="1352"/>
      <c r="W1" s="1352"/>
      <c r="X1" s="1352"/>
      <c r="Y1" s="1352"/>
      <c r="Z1" s="1352"/>
      <c r="AA1" s="1352"/>
      <c r="AB1" s="1352"/>
      <c r="AC1" s="1352"/>
      <c r="AD1" s="1352"/>
      <c r="AE1" s="1352"/>
      <c r="AF1" s="1352"/>
      <c r="AG1" s="1352"/>
      <c r="AH1" s="1352"/>
      <c r="AI1" s="1352"/>
      <c r="AJ1" s="1352"/>
      <c r="AK1" s="1352"/>
      <c r="AL1" s="1352"/>
      <c r="AM1" s="1352"/>
      <c r="AN1" s="1352"/>
      <c r="AO1" s="1352"/>
      <c r="AP1" s="1352"/>
      <c r="AQ1" s="1352"/>
      <c r="AR1" s="1352"/>
      <c r="AS1" s="1352"/>
      <c r="AT1" s="1352"/>
      <c r="AU1" s="1352"/>
      <c r="AV1" s="1352"/>
      <c r="AW1" s="1352"/>
      <c r="AX1" s="1352"/>
      <c r="AY1" s="1352"/>
      <c r="AZ1" s="1352"/>
      <c r="BA1" s="1352"/>
    </row>
    <row r="2" spans="1:54" ht="15" thickBot="1">
      <c r="A2" s="1256"/>
      <c r="B2" s="1256"/>
      <c r="C2" s="1256"/>
      <c r="D2" s="1256"/>
      <c r="E2" s="1256"/>
      <c r="F2" s="1256"/>
      <c r="G2" s="1256"/>
      <c r="H2" s="1256"/>
      <c r="I2" s="1256"/>
      <c r="J2" s="1256"/>
      <c r="K2" s="1256"/>
      <c r="L2" s="1256"/>
      <c r="M2" s="1256"/>
      <c r="N2" s="1256"/>
      <c r="O2" s="1256"/>
      <c r="P2" s="1256"/>
      <c r="Q2" s="1256"/>
      <c r="R2" s="1256"/>
      <c r="S2" s="1256"/>
      <c r="T2" s="1256"/>
      <c r="U2" s="1256"/>
      <c r="V2" s="1256"/>
      <c r="W2" s="1256"/>
      <c r="X2" s="1256"/>
      <c r="Y2" s="1256"/>
      <c r="Z2" s="1256"/>
      <c r="AA2" s="1256"/>
      <c r="AB2" s="1256"/>
      <c r="AC2" s="1256"/>
      <c r="AD2" s="1256"/>
      <c r="AE2" s="1256"/>
      <c r="AF2" s="1256"/>
      <c r="AG2" s="1256"/>
      <c r="AH2" s="1256"/>
      <c r="AI2" s="1256"/>
      <c r="AJ2" s="1256"/>
      <c r="AK2" s="1256"/>
      <c r="AL2" s="1256"/>
      <c r="AM2" s="1256"/>
      <c r="AN2" s="1256"/>
      <c r="AO2" s="1256"/>
      <c r="AP2" s="1256"/>
      <c r="AQ2" s="1256"/>
      <c r="AR2" s="1256"/>
      <c r="AS2" s="1256"/>
      <c r="AT2" s="1256"/>
      <c r="AU2" s="1256"/>
      <c r="AV2" s="1256"/>
      <c r="AW2" s="1256"/>
      <c r="AX2" s="1256"/>
      <c r="AY2" s="1256"/>
      <c r="AZ2" s="1256"/>
      <c r="BA2" s="1256"/>
    </row>
    <row r="3" spans="1:54" ht="28.5" customHeight="1" thickBot="1">
      <c r="A3" s="1353" t="s">
        <v>14</v>
      </c>
      <c r="B3" s="1040" t="s">
        <v>164</v>
      </c>
      <c r="C3" s="1041"/>
      <c r="D3" s="1250" t="s">
        <v>165</v>
      </c>
      <c r="E3" s="1251"/>
      <c r="F3" s="1252" t="s">
        <v>166</v>
      </c>
      <c r="G3" s="1251"/>
      <c r="H3" s="1250" t="s">
        <v>167</v>
      </c>
      <c r="I3" s="1252"/>
      <c r="J3" s="1250" t="s">
        <v>168</v>
      </c>
      <c r="K3" s="1251"/>
      <c r="L3" s="1250" t="s">
        <v>169</v>
      </c>
      <c r="M3" s="1252"/>
      <c r="N3" s="1250" t="s">
        <v>371</v>
      </c>
      <c r="O3" s="1251"/>
      <c r="P3" s="1250" t="s">
        <v>171</v>
      </c>
      <c r="Q3" s="1252"/>
      <c r="R3" s="1250" t="s">
        <v>172</v>
      </c>
      <c r="S3" s="1251"/>
      <c r="T3" s="1252" t="s">
        <v>173</v>
      </c>
      <c r="U3" s="1252"/>
      <c r="V3" s="1250" t="s">
        <v>174</v>
      </c>
      <c r="W3" s="1251"/>
      <c r="X3" s="1252" t="s">
        <v>175</v>
      </c>
      <c r="Y3" s="1251"/>
      <c r="Z3" s="1208" t="s">
        <v>176</v>
      </c>
      <c r="AA3" s="1209"/>
      <c r="AB3" s="1250" t="s">
        <v>177</v>
      </c>
      <c r="AC3" s="1251"/>
      <c r="AD3" s="1253" t="s">
        <v>178</v>
      </c>
      <c r="AE3" s="1351"/>
      <c r="AF3" s="1250" t="s">
        <v>179</v>
      </c>
      <c r="AG3" s="1251"/>
      <c r="AH3" s="1252" t="s">
        <v>180</v>
      </c>
      <c r="AI3" s="1252"/>
      <c r="AJ3" s="1250" t="s">
        <v>181</v>
      </c>
      <c r="AK3" s="1251"/>
      <c r="AL3" s="1253" t="s">
        <v>182</v>
      </c>
      <c r="AM3" s="1351"/>
      <c r="AN3" s="1250" t="s">
        <v>183</v>
      </c>
      <c r="AO3" s="1251"/>
      <c r="AP3" s="1252" t="s">
        <v>184</v>
      </c>
      <c r="AQ3" s="1252"/>
      <c r="AR3" s="1250" t="s">
        <v>185</v>
      </c>
      <c r="AS3" s="1251"/>
      <c r="AT3" s="1250" t="s">
        <v>186</v>
      </c>
      <c r="AU3" s="1252"/>
      <c r="AV3" s="1250" t="s">
        <v>1</v>
      </c>
      <c r="AW3" s="1251"/>
      <c r="AX3" s="1253" t="s">
        <v>187</v>
      </c>
      <c r="AY3" s="1351"/>
      <c r="AZ3" s="1253" t="s">
        <v>2</v>
      </c>
      <c r="BA3" s="1254"/>
    </row>
    <row r="4" spans="1:54" ht="15" thickBot="1">
      <c r="A4" s="1354"/>
      <c r="B4" s="466" t="s">
        <v>295</v>
      </c>
      <c r="C4" s="467" t="s">
        <v>363</v>
      </c>
      <c r="D4" s="466" t="s">
        <v>295</v>
      </c>
      <c r="E4" s="468" t="s">
        <v>363</v>
      </c>
      <c r="F4" s="467" t="s">
        <v>295</v>
      </c>
      <c r="G4" s="467" t="s">
        <v>363</v>
      </c>
      <c r="H4" s="466" t="s">
        <v>295</v>
      </c>
      <c r="I4" s="467" t="s">
        <v>363</v>
      </c>
      <c r="J4" s="466" t="s">
        <v>295</v>
      </c>
      <c r="K4" s="468" t="s">
        <v>363</v>
      </c>
      <c r="L4" s="466" t="s">
        <v>295</v>
      </c>
      <c r="M4" s="467" t="s">
        <v>363</v>
      </c>
      <c r="N4" s="466" t="s">
        <v>295</v>
      </c>
      <c r="O4" s="468" t="s">
        <v>363</v>
      </c>
      <c r="P4" s="466" t="s">
        <v>295</v>
      </c>
      <c r="Q4" s="467" t="s">
        <v>363</v>
      </c>
      <c r="R4" s="466" t="s">
        <v>295</v>
      </c>
      <c r="S4" s="468" t="s">
        <v>363</v>
      </c>
      <c r="T4" s="467" t="s">
        <v>295</v>
      </c>
      <c r="U4" s="467" t="s">
        <v>363</v>
      </c>
      <c r="V4" s="466" t="s">
        <v>295</v>
      </c>
      <c r="W4" s="468" t="s">
        <v>363</v>
      </c>
      <c r="X4" s="467" t="s">
        <v>295</v>
      </c>
      <c r="Y4" s="467" t="s">
        <v>363</v>
      </c>
      <c r="Z4" s="466" t="s">
        <v>295</v>
      </c>
      <c r="AA4" s="467" t="s">
        <v>363</v>
      </c>
      <c r="AB4" s="466" t="s">
        <v>295</v>
      </c>
      <c r="AC4" s="468" t="s">
        <v>363</v>
      </c>
      <c r="AD4" s="467" t="s">
        <v>295</v>
      </c>
      <c r="AE4" s="467" t="s">
        <v>363</v>
      </c>
      <c r="AF4" s="466" t="s">
        <v>295</v>
      </c>
      <c r="AG4" s="468" t="s">
        <v>363</v>
      </c>
      <c r="AH4" s="467" t="s">
        <v>295</v>
      </c>
      <c r="AI4" s="467" t="s">
        <v>363</v>
      </c>
      <c r="AJ4" s="466" t="s">
        <v>295</v>
      </c>
      <c r="AK4" s="468" t="s">
        <v>363</v>
      </c>
      <c r="AL4" s="466" t="s">
        <v>295</v>
      </c>
      <c r="AM4" s="467" t="s">
        <v>363</v>
      </c>
      <c r="AN4" s="466" t="s">
        <v>295</v>
      </c>
      <c r="AO4" s="468" t="s">
        <v>363</v>
      </c>
      <c r="AP4" s="467" t="s">
        <v>295</v>
      </c>
      <c r="AQ4" s="467" t="s">
        <v>363</v>
      </c>
      <c r="AR4" s="466" t="s">
        <v>295</v>
      </c>
      <c r="AS4" s="468" t="s">
        <v>363</v>
      </c>
      <c r="AT4" s="466" t="s">
        <v>295</v>
      </c>
      <c r="AU4" s="467" t="s">
        <v>363</v>
      </c>
      <c r="AV4" s="466" t="s">
        <v>295</v>
      </c>
      <c r="AW4" s="467" t="s">
        <v>363</v>
      </c>
      <c r="AX4" s="466" t="s">
        <v>295</v>
      </c>
      <c r="AY4" s="467" t="s">
        <v>363</v>
      </c>
      <c r="AZ4" s="466" t="s">
        <v>295</v>
      </c>
      <c r="BA4" s="468" t="s">
        <v>363</v>
      </c>
    </row>
    <row r="5" spans="1:54" ht="15">
      <c r="A5" s="42" t="s">
        <v>3</v>
      </c>
      <c r="B5" s="43">
        <v>29223</v>
      </c>
      <c r="C5" s="44">
        <v>25648</v>
      </c>
      <c r="D5" s="48">
        <v>1</v>
      </c>
      <c r="E5" s="47">
        <v>2</v>
      </c>
      <c r="F5" s="45">
        <v>1319</v>
      </c>
      <c r="G5" s="46">
        <v>1696</v>
      </c>
      <c r="H5" s="48">
        <v>22969</v>
      </c>
      <c r="I5" s="1116">
        <v>31481</v>
      </c>
      <c r="J5" s="48">
        <v>13117</v>
      </c>
      <c r="K5" s="47">
        <v>11513</v>
      </c>
      <c r="L5" s="349"/>
      <c r="M5" s="605"/>
      <c r="N5" s="48">
        <v>3112</v>
      </c>
      <c r="O5" s="47">
        <v>1682</v>
      </c>
      <c r="P5" s="48">
        <v>7234</v>
      </c>
      <c r="Q5" s="1116">
        <v>9565</v>
      </c>
      <c r="R5" s="48">
        <v>15513</v>
      </c>
      <c r="S5" s="47">
        <v>12981</v>
      </c>
      <c r="T5" s="45">
        <v>1207</v>
      </c>
      <c r="U5" s="1116">
        <v>762</v>
      </c>
      <c r="V5" s="48">
        <v>32296</v>
      </c>
      <c r="W5" s="47">
        <v>28994</v>
      </c>
      <c r="X5" s="45">
        <v>34757</v>
      </c>
      <c r="Y5" s="46">
        <v>28953</v>
      </c>
      <c r="Z5" s="50">
        <v>1750</v>
      </c>
      <c r="AA5" s="1119">
        <v>617</v>
      </c>
      <c r="AB5" s="48">
        <v>1597</v>
      </c>
      <c r="AC5" s="47">
        <v>684</v>
      </c>
      <c r="AD5" s="45">
        <v>25830</v>
      </c>
      <c r="AE5" s="1116">
        <v>20044</v>
      </c>
      <c r="AF5" s="48">
        <v>28520</v>
      </c>
      <c r="AG5" s="47">
        <v>29100</v>
      </c>
      <c r="AH5" s="45">
        <v>1640</v>
      </c>
      <c r="AI5" s="1116">
        <v>1703</v>
      </c>
      <c r="AJ5" s="195">
        <v>28174</v>
      </c>
      <c r="AK5" s="191">
        <v>16022</v>
      </c>
      <c r="AL5" s="302"/>
      <c r="AM5" s="953"/>
      <c r="AN5" s="1101">
        <v>106274</v>
      </c>
      <c r="AO5" s="1102">
        <v>78563</v>
      </c>
      <c r="AP5" s="51">
        <v>1076</v>
      </c>
      <c r="AQ5" s="1110">
        <v>531</v>
      </c>
      <c r="AR5" s="300">
        <v>33</v>
      </c>
      <c r="AS5" s="1113"/>
      <c r="AT5" s="48">
        <v>25085</v>
      </c>
      <c r="AU5" s="46">
        <v>29285</v>
      </c>
      <c r="AV5" s="299">
        <f t="shared" ref="AV5:AV18" si="0">SUM(B5+D5+F5+H5+J5+L5+N5+P5+R5+T5+V5+X5+Z5+AB5+AD5+AF5+AH5+AJ5+AL5+AN5+AP5+AR5+AT5)</f>
        <v>380727</v>
      </c>
      <c r="AW5" s="299">
        <f t="shared" ref="AW5:AW18" si="1">SUM(C5+E5+G5+I5+K5+M5+O5+Q5+S5+U5+W5+Y5+AA5+AC5+AE5+AG5+AI5+AK5+AM5+AO5+AQ5+AS5+AU5)</f>
        <v>329826</v>
      </c>
      <c r="AX5" s="300">
        <v>3279036</v>
      </c>
      <c r="AY5" s="1095">
        <v>1832830</v>
      </c>
      <c r="AZ5" s="299">
        <f t="shared" ref="AZ5:AZ18" si="2">AV5+AX5</f>
        <v>3659763</v>
      </c>
      <c r="BA5" s="52">
        <f t="shared" ref="BA5:BA18" si="3">AW5+AY5</f>
        <v>2162656</v>
      </c>
      <c r="BB5" s="53"/>
    </row>
    <row r="6" spans="1:54" ht="15">
      <c r="A6" s="42" t="s">
        <v>4</v>
      </c>
      <c r="B6" s="54">
        <v>18018</v>
      </c>
      <c r="C6" s="14">
        <v>24960</v>
      </c>
      <c r="D6" s="19">
        <v>19</v>
      </c>
      <c r="E6" s="22"/>
      <c r="F6" s="21">
        <v>527</v>
      </c>
      <c r="G6" s="18">
        <v>1274</v>
      </c>
      <c r="H6" s="19">
        <v>13055</v>
      </c>
      <c r="I6" s="947">
        <v>25178</v>
      </c>
      <c r="J6" s="19">
        <v>28898</v>
      </c>
      <c r="K6" s="22">
        <v>1143</v>
      </c>
      <c r="L6" s="19">
        <v>22382</v>
      </c>
      <c r="M6" s="947">
        <v>172</v>
      </c>
      <c r="N6" s="19">
        <v>619</v>
      </c>
      <c r="O6" s="22">
        <v>175</v>
      </c>
      <c r="P6" s="19">
        <v>1182</v>
      </c>
      <c r="Q6" s="947">
        <v>1939</v>
      </c>
      <c r="R6" s="19">
        <v>2927</v>
      </c>
      <c r="S6" s="22">
        <v>1683</v>
      </c>
      <c r="T6" s="21">
        <v>3085</v>
      </c>
      <c r="U6" s="947">
        <v>3488</v>
      </c>
      <c r="V6" s="19">
        <v>76644</v>
      </c>
      <c r="W6" s="22">
        <v>87492</v>
      </c>
      <c r="X6" s="21">
        <v>81008</v>
      </c>
      <c r="Y6" s="18">
        <v>55049</v>
      </c>
      <c r="Z6" s="55">
        <v>9517</v>
      </c>
      <c r="AA6" s="986">
        <v>3934</v>
      </c>
      <c r="AB6" s="19">
        <v>21766</v>
      </c>
      <c r="AC6" s="22">
        <v>12693</v>
      </c>
      <c r="AD6" s="21">
        <v>9688</v>
      </c>
      <c r="AE6" s="947">
        <v>20125</v>
      </c>
      <c r="AF6" s="19">
        <v>58528</v>
      </c>
      <c r="AG6" s="22">
        <v>63775</v>
      </c>
      <c r="AH6" s="21">
        <v>26460</v>
      </c>
      <c r="AI6" s="947">
        <v>27174</v>
      </c>
      <c r="AJ6" s="195">
        <v>1301</v>
      </c>
      <c r="AK6" s="191">
        <v>655</v>
      </c>
      <c r="AL6" s="303"/>
      <c r="AM6" s="207"/>
      <c r="AN6" s="1103">
        <v>181588</v>
      </c>
      <c r="AO6" s="17">
        <v>102485</v>
      </c>
      <c r="AP6" s="26">
        <v>139</v>
      </c>
      <c r="AQ6" s="372">
        <v>114</v>
      </c>
      <c r="AR6" s="206">
        <v>12627</v>
      </c>
      <c r="AS6" s="1114">
        <v>8199</v>
      </c>
      <c r="AT6" s="19">
        <v>25086</v>
      </c>
      <c r="AU6" s="18">
        <v>41306</v>
      </c>
      <c r="AV6" s="299">
        <f t="shared" si="0"/>
        <v>595064</v>
      </c>
      <c r="AW6" s="299">
        <f t="shared" si="1"/>
        <v>483013</v>
      </c>
      <c r="AX6" s="206">
        <v>35699</v>
      </c>
      <c r="AY6" s="954">
        <v>19472</v>
      </c>
      <c r="AZ6" s="299">
        <f t="shared" si="2"/>
        <v>630763</v>
      </c>
      <c r="BA6" s="52">
        <f t="shared" si="3"/>
        <v>502485</v>
      </c>
    </row>
    <row r="7" spans="1:54" ht="15">
      <c r="A7" s="42" t="s">
        <v>5</v>
      </c>
      <c r="B7" s="54">
        <v>-3</v>
      </c>
      <c r="C7" s="14">
        <v>23</v>
      </c>
      <c r="D7" s="19">
        <v>94</v>
      </c>
      <c r="E7" s="22">
        <v>131</v>
      </c>
      <c r="F7" s="21">
        <v>330</v>
      </c>
      <c r="G7" s="18">
        <v>379</v>
      </c>
      <c r="H7" s="19">
        <v>8039</v>
      </c>
      <c r="I7" s="947">
        <v>6775</v>
      </c>
      <c r="J7" s="19">
        <v>2747</v>
      </c>
      <c r="K7" s="22">
        <v>2506</v>
      </c>
      <c r="L7" s="19">
        <v>107</v>
      </c>
      <c r="M7" s="947">
        <v>21891</v>
      </c>
      <c r="N7" s="19">
        <v>502</v>
      </c>
      <c r="O7" s="22">
        <v>178</v>
      </c>
      <c r="P7" s="19">
        <v>883</v>
      </c>
      <c r="Q7" s="947">
        <v>1074</v>
      </c>
      <c r="R7" s="19">
        <v>2840</v>
      </c>
      <c r="S7" s="22">
        <v>386</v>
      </c>
      <c r="T7" s="21">
        <v>1234</v>
      </c>
      <c r="U7" s="947">
        <v>435</v>
      </c>
      <c r="V7" s="19">
        <v>13549</v>
      </c>
      <c r="W7" s="22">
        <v>8039</v>
      </c>
      <c r="X7" s="21">
        <v>4747</v>
      </c>
      <c r="Y7" s="18">
        <v>6049</v>
      </c>
      <c r="Z7" s="55"/>
      <c r="AA7" s="986"/>
      <c r="AB7" s="19">
        <v>1684</v>
      </c>
      <c r="AC7" s="22">
        <v>608</v>
      </c>
      <c r="AD7" s="21">
        <v>106</v>
      </c>
      <c r="AE7" s="947">
        <v>878</v>
      </c>
      <c r="AF7" s="19">
        <v>1779</v>
      </c>
      <c r="AG7" s="22">
        <v>860</v>
      </c>
      <c r="AH7" s="21">
        <v>1</v>
      </c>
      <c r="AI7" s="947">
        <v>427</v>
      </c>
      <c r="AJ7" s="195">
        <v>4831</v>
      </c>
      <c r="AK7" s="191">
        <v>1766</v>
      </c>
      <c r="AL7" s="303"/>
      <c r="AM7" s="207"/>
      <c r="AN7" s="1103">
        <v>4509</v>
      </c>
      <c r="AO7" s="17">
        <v>6798</v>
      </c>
      <c r="AP7" s="26">
        <v>26672</v>
      </c>
      <c r="AQ7" s="372">
        <v>10372</v>
      </c>
      <c r="AR7" s="206"/>
      <c r="AS7" s="1114"/>
      <c r="AT7" s="19">
        <v>718</v>
      </c>
      <c r="AU7" s="18">
        <v>1007</v>
      </c>
      <c r="AV7" s="299">
        <f t="shared" si="0"/>
        <v>75369</v>
      </c>
      <c r="AW7" s="299">
        <f t="shared" si="1"/>
        <v>70582</v>
      </c>
      <c r="AX7" s="206">
        <v>5951</v>
      </c>
      <c r="AY7" s="954">
        <v>2233</v>
      </c>
      <c r="AZ7" s="299">
        <f t="shared" si="2"/>
        <v>81320</v>
      </c>
      <c r="BA7" s="52">
        <f t="shared" si="3"/>
        <v>72815</v>
      </c>
    </row>
    <row r="8" spans="1:54" ht="15">
      <c r="A8" s="42" t="s">
        <v>6</v>
      </c>
      <c r="B8" s="54">
        <v>451</v>
      </c>
      <c r="C8" s="14">
        <v>13</v>
      </c>
      <c r="D8" s="19">
        <v>115</v>
      </c>
      <c r="E8" s="22">
        <v>479</v>
      </c>
      <c r="F8" s="21">
        <v>100</v>
      </c>
      <c r="G8" s="18">
        <v>54</v>
      </c>
      <c r="H8" s="19">
        <v>3256</v>
      </c>
      <c r="I8" s="947">
        <v>2456</v>
      </c>
      <c r="J8" s="19">
        <v>9188</v>
      </c>
      <c r="K8" s="22">
        <v>3960</v>
      </c>
      <c r="L8" s="19"/>
      <c r="M8" s="947">
        <v>64</v>
      </c>
      <c r="N8" s="19">
        <v>-6</v>
      </c>
      <c r="O8" s="22">
        <v>-4</v>
      </c>
      <c r="P8" s="19">
        <v>250</v>
      </c>
      <c r="Q8" s="947">
        <v>636</v>
      </c>
      <c r="R8" s="19">
        <v>13948</v>
      </c>
      <c r="S8" s="22">
        <v>5332</v>
      </c>
      <c r="T8" s="21">
        <v>342</v>
      </c>
      <c r="U8" s="947">
        <v>28</v>
      </c>
      <c r="V8" s="19">
        <v>14031</v>
      </c>
      <c r="W8" s="22">
        <v>5600</v>
      </c>
      <c r="X8" s="21">
        <v>9842</v>
      </c>
      <c r="Y8" s="18">
        <v>5839</v>
      </c>
      <c r="Z8" s="55"/>
      <c r="AA8" s="986">
        <v>62</v>
      </c>
      <c r="AB8" s="19">
        <v>529</v>
      </c>
      <c r="AC8" s="22">
        <v>159</v>
      </c>
      <c r="AD8" s="21">
        <v>1411</v>
      </c>
      <c r="AE8" s="947">
        <v>852</v>
      </c>
      <c r="AF8" s="19">
        <v>-8</v>
      </c>
      <c r="AG8" s="22">
        <v>-3</v>
      </c>
      <c r="AH8" s="21">
        <v>829</v>
      </c>
      <c r="AI8" s="947">
        <v>942</v>
      </c>
      <c r="AJ8" s="195">
        <v>3848</v>
      </c>
      <c r="AK8" s="191">
        <v>907</v>
      </c>
      <c r="AL8" s="303"/>
      <c r="AM8" s="207"/>
      <c r="AN8" s="1104">
        <v>22</v>
      </c>
      <c r="AO8" s="1105">
        <v>28</v>
      </c>
      <c r="AP8" s="26">
        <v>1243</v>
      </c>
      <c r="AQ8" s="372">
        <v>3234</v>
      </c>
      <c r="AR8" s="206">
        <v>-1</v>
      </c>
      <c r="AS8" s="1114"/>
      <c r="AT8" s="19">
        <v>9269</v>
      </c>
      <c r="AU8" s="18">
        <v>7138</v>
      </c>
      <c r="AV8" s="299">
        <f t="shared" si="0"/>
        <v>68659</v>
      </c>
      <c r="AW8" s="299">
        <f t="shared" si="1"/>
        <v>37776</v>
      </c>
      <c r="AX8" s="206">
        <v>257</v>
      </c>
      <c r="AY8" s="954">
        <v>156</v>
      </c>
      <c r="AZ8" s="299">
        <f t="shared" si="2"/>
        <v>68916</v>
      </c>
      <c r="BA8" s="52">
        <f t="shared" si="3"/>
        <v>37932</v>
      </c>
    </row>
    <row r="9" spans="1:54" ht="15">
      <c r="A9" s="42" t="s">
        <v>7</v>
      </c>
      <c r="B9" s="54">
        <v>500</v>
      </c>
      <c r="C9" s="14"/>
      <c r="D9" s="19"/>
      <c r="E9" s="22"/>
      <c r="F9" s="21"/>
      <c r="G9" s="18"/>
      <c r="H9" s="19"/>
      <c r="I9" s="947"/>
      <c r="J9" s="19"/>
      <c r="K9" s="22"/>
      <c r="L9" s="19"/>
      <c r="M9" s="947">
        <v>572</v>
      </c>
      <c r="N9" s="19"/>
      <c r="O9" s="22"/>
      <c r="P9" s="19">
        <v>273</v>
      </c>
      <c r="Q9" s="947">
        <v>5</v>
      </c>
      <c r="R9" s="19"/>
      <c r="S9" s="22"/>
      <c r="T9" s="21"/>
      <c r="U9" s="947"/>
      <c r="V9" s="19"/>
      <c r="W9" s="22"/>
      <c r="X9" s="21"/>
      <c r="Y9" s="18"/>
      <c r="Z9" s="55"/>
      <c r="AA9" s="986"/>
      <c r="AB9" s="19"/>
      <c r="AC9" s="22"/>
      <c r="AD9" s="683">
        <v>1511</v>
      </c>
      <c r="AE9" s="976">
        <v>67</v>
      </c>
      <c r="AF9" s="19"/>
      <c r="AG9" s="22"/>
      <c r="AH9" s="21"/>
      <c r="AI9" s="947"/>
      <c r="AJ9" s="195"/>
      <c r="AK9" s="191"/>
      <c r="AL9" s="303"/>
      <c r="AM9" s="207"/>
      <c r="AN9" s="1106"/>
      <c r="AO9" s="66"/>
      <c r="AP9" s="26"/>
      <c r="AQ9" s="372"/>
      <c r="AR9" s="206"/>
      <c r="AS9" s="1114"/>
      <c r="AT9" s="19">
        <v>12327</v>
      </c>
      <c r="AU9" s="18">
        <v>1600</v>
      </c>
      <c r="AV9" s="299">
        <f t="shared" si="0"/>
        <v>14611</v>
      </c>
      <c r="AW9" s="299">
        <f t="shared" si="1"/>
        <v>2244</v>
      </c>
      <c r="AX9" s="19">
        <v>79872</v>
      </c>
      <c r="AY9" s="947">
        <v>48217</v>
      </c>
      <c r="AZ9" s="48">
        <f t="shared" si="2"/>
        <v>94483</v>
      </c>
      <c r="BA9" s="688">
        <f t="shared" si="3"/>
        <v>50461</v>
      </c>
    </row>
    <row r="10" spans="1:54" ht="15">
      <c r="A10" s="42" t="s">
        <v>15</v>
      </c>
      <c r="B10" s="54"/>
      <c r="C10" s="14"/>
      <c r="D10" s="19"/>
      <c r="E10" s="22"/>
      <c r="F10" s="21"/>
      <c r="G10" s="18"/>
      <c r="H10" s="19"/>
      <c r="I10" s="947"/>
      <c r="J10" s="19"/>
      <c r="K10" s="22"/>
      <c r="L10" s="19"/>
      <c r="M10" s="947"/>
      <c r="N10" s="19"/>
      <c r="O10" s="22"/>
      <c r="P10" s="19"/>
      <c r="Q10" s="947"/>
      <c r="R10" s="19"/>
      <c r="S10" s="22"/>
      <c r="T10" s="21"/>
      <c r="U10" s="947"/>
      <c r="V10" s="19"/>
      <c r="W10" s="22"/>
      <c r="X10" s="21"/>
      <c r="Y10" s="18"/>
      <c r="Z10" s="19"/>
      <c r="AA10" s="947"/>
      <c r="AB10" s="19">
        <v>6819</v>
      </c>
      <c r="AC10" s="22">
        <v>3042</v>
      </c>
      <c r="AD10" s="21"/>
      <c r="AE10" s="947"/>
      <c r="AF10" s="19"/>
      <c r="AG10" s="22"/>
      <c r="AH10" s="21"/>
      <c r="AI10" s="947"/>
      <c r="AJ10" s="195"/>
      <c r="AK10" s="191"/>
      <c r="AL10" s="303"/>
      <c r="AM10" s="207"/>
      <c r="AN10" s="1106"/>
      <c r="AO10" s="66"/>
      <c r="AP10" s="26"/>
      <c r="AQ10" s="372"/>
      <c r="AR10" s="206"/>
      <c r="AS10" s="1114"/>
      <c r="AT10" s="19"/>
      <c r="AU10" s="18"/>
      <c r="AV10" s="299">
        <f t="shared" si="0"/>
        <v>6819</v>
      </c>
      <c r="AW10" s="299">
        <f t="shared" si="1"/>
        <v>3042</v>
      </c>
      <c r="AX10" s="206"/>
      <c r="AY10" s="954"/>
      <c r="AZ10" s="299">
        <f t="shared" si="2"/>
        <v>6819</v>
      </c>
      <c r="BA10" s="52">
        <f t="shared" si="3"/>
        <v>3042</v>
      </c>
    </row>
    <row r="11" spans="1:54" ht="15">
      <c r="A11" s="42" t="s">
        <v>8</v>
      </c>
      <c r="B11" s="54">
        <v>2500</v>
      </c>
      <c r="C11" s="14">
        <v>1800</v>
      </c>
      <c r="D11" s="19">
        <v>5534</v>
      </c>
      <c r="E11" s="22">
        <v>2847</v>
      </c>
      <c r="F11" s="21">
        <v>1418</v>
      </c>
      <c r="G11" s="18">
        <v>1138</v>
      </c>
      <c r="H11" s="19">
        <v>3710</v>
      </c>
      <c r="I11" s="947">
        <v>6230</v>
      </c>
      <c r="J11" s="19">
        <v>8670</v>
      </c>
      <c r="K11" s="22">
        <v>2346</v>
      </c>
      <c r="L11" s="19">
        <v>1345</v>
      </c>
      <c r="M11" s="947">
        <v>2528</v>
      </c>
      <c r="N11" s="19">
        <v>5589</v>
      </c>
      <c r="O11" s="22">
        <v>2346</v>
      </c>
      <c r="P11" s="19">
        <v>4009</v>
      </c>
      <c r="Q11" s="947">
        <v>4247</v>
      </c>
      <c r="R11" s="19">
        <v>1419</v>
      </c>
      <c r="S11" s="22">
        <v>1787</v>
      </c>
      <c r="T11" s="21">
        <v>3776</v>
      </c>
      <c r="U11" s="947">
        <v>6529</v>
      </c>
      <c r="V11" s="19">
        <v>57985</v>
      </c>
      <c r="W11" s="22">
        <v>59626</v>
      </c>
      <c r="X11" s="21">
        <v>17544</v>
      </c>
      <c r="Y11" s="18">
        <v>12962</v>
      </c>
      <c r="Z11" s="19">
        <v>129</v>
      </c>
      <c r="AA11" s="947">
        <v>396</v>
      </c>
      <c r="AB11" s="19">
        <v>2606</v>
      </c>
      <c r="AC11" s="22">
        <v>7053</v>
      </c>
      <c r="AD11" s="21">
        <v>15319</v>
      </c>
      <c r="AE11" s="947">
        <v>16216</v>
      </c>
      <c r="AF11" s="19">
        <v>24394</v>
      </c>
      <c r="AG11" s="22">
        <v>28421</v>
      </c>
      <c r="AH11" s="21">
        <v>10575</v>
      </c>
      <c r="AI11" s="947">
        <v>8585</v>
      </c>
      <c r="AJ11" s="195">
        <v>14574</v>
      </c>
      <c r="AK11" s="191">
        <v>18500</v>
      </c>
      <c r="AL11" s="303"/>
      <c r="AM11" s="207"/>
      <c r="AN11" s="1103">
        <v>2703</v>
      </c>
      <c r="AO11" s="17">
        <v>1826</v>
      </c>
      <c r="AP11" s="26">
        <v>18057</v>
      </c>
      <c r="AQ11" s="372">
        <v>17957</v>
      </c>
      <c r="AR11" s="206">
        <v>301</v>
      </c>
      <c r="AS11" s="1114">
        <v>381</v>
      </c>
      <c r="AT11" s="19">
        <v>7572</v>
      </c>
      <c r="AU11" s="18">
        <v>5356</v>
      </c>
      <c r="AV11" s="299">
        <f t="shared" si="0"/>
        <v>209729</v>
      </c>
      <c r="AW11" s="299">
        <f t="shared" si="1"/>
        <v>209077</v>
      </c>
      <c r="AX11" s="206">
        <v>121131</v>
      </c>
      <c r="AY11" s="954">
        <v>9099</v>
      </c>
      <c r="AZ11" s="299">
        <f t="shared" si="2"/>
        <v>330860</v>
      </c>
      <c r="BA11" s="52">
        <f t="shared" si="3"/>
        <v>218176</v>
      </c>
    </row>
    <row r="12" spans="1:54" ht="15">
      <c r="A12" s="42" t="s">
        <v>16</v>
      </c>
      <c r="B12" s="54"/>
      <c r="C12" s="14"/>
      <c r="D12" s="19"/>
      <c r="E12" s="22"/>
      <c r="F12" s="21"/>
      <c r="G12" s="18"/>
      <c r="H12" s="19"/>
      <c r="I12" s="947">
        <v>3205</v>
      </c>
      <c r="J12" s="19"/>
      <c r="K12" s="22"/>
      <c r="L12" s="19"/>
      <c r="M12" s="947"/>
      <c r="N12" s="19"/>
      <c r="O12" s="22"/>
      <c r="P12" s="19"/>
      <c r="Q12" s="947"/>
      <c r="R12" s="19">
        <v>17</v>
      </c>
      <c r="S12" s="22">
        <v>2361</v>
      </c>
      <c r="T12" s="21"/>
      <c r="U12" s="947"/>
      <c r="V12" s="19"/>
      <c r="W12" s="22"/>
      <c r="X12" s="21"/>
      <c r="Y12" s="18"/>
      <c r="Z12" s="19"/>
      <c r="AA12" s="947"/>
      <c r="AB12" s="19"/>
      <c r="AC12" s="22"/>
      <c r="AD12" s="21">
        <v>204</v>
      </c>
      <c r="AE12" s="947">
        <v>7</v>
      </c>
      <c r="AF12" s="19"/>
      <c r="AG12" s="22"/>
      <c r="AH12" s="21"/>
      <c r="AI12" s="947"/>
      <c r="AJ12" s="195"/>
      <c r="AK12" s="191"/>
      <c r="AL12" s="303"/>
      <c r="AM12" s="207"/>
      <c r="AN12" s="1103"/>
      <c r="AO12" s="17"/>
      <c r="AP12" s="26"/>
      <c r="AQ12" s="372"/>
      <c r="AR12" s="206"/>
      <c r="AS12" s="1114"/>
      <c r="AT12" s="19"/>
      <c r="AU12" s="18"/>
      <c r="AV12" s="299">
        <f t="shared" si="0"/>
        <v>221</v>
      </c>
      <c r="AW12" s="299">
        <f t="shared" si="1"/>
        <v>5573</v>
      </c>
      <c r="AX12" s="206"/>
      <c r="AY12" s="954"/>
      <c r="AZ12" s="299">
        <f t="shared" si="2"/>
        <v>221</v>
      </c>
      <c r="BA12" s="52">
        <f t="shared" si="3"/>
        <v>5573</v>
      </c>
    </row>
    <row r="13" spans="1:54" ht="15">
      <c r="A13" s="42" t="s">
        <v>17</v>
      </c>
      <c r="B13" s="54"/>
      <c r="C13" s="14"/>
      <c r="D13" s="19"/>
      <c r="E13" s="22"/>
      <c r="F13" s="21"/>
      <c r="G13" s="18"/>
      <c r="H13" s="19"/>
      <c r="I13" s="947"/>
      <c r="J13" s="19"/>
      <c r="K13" s="22"/>
      <c r="L13" s="19"/>
      <c r="M13" s="947"/>
      <c r="N13" s="19"/>
      <c r="O13" s="22"/>
      <c r="P13" s="19"/>
      <c r="Q13" s="947"/>
      <c r="R13" s="19"/>
      <c r="S13" s="22"/>
      <c r="T13" s="21"/>
      <c r="U13" s="947"/>
      <c r="V13" s="19">
        <v>43</v>
      </c>
      <c r="W13" s="22">
        <v>43</v>
      </c>
      <c r="X13" s="21">
        <v>157</v>
      </c>
      <c r="Y13" s="18">
        <v>185</v>
      </c>
      <c r="Z13" s="19"/>
      <c r="AA13" s="947"/>
      <c r="AB13" s="19"/>
      <c r="AC13" s="22"/>
      <c r="AD13" s="21"/>
      <c r="AE13" s="947"/>
      <c r="AF13" s="19"/>
      <c r="AG13" s="22"/>
      <c r="AH13" s="21"/>
      <c r="AI13" s="947"/>
      <c r="AJ13" s="195"/>
      <c r="AK13" s="191"/>
      <c r="AL13" s="303"/>
      <c r="AM13" s="207"/>
      <c r="AN13" s="1103"/>
      <c r="AO13" s="17"/>
      <c r="AP13" s="26"/>
      <c r="AQ13" s="372"/>
      <c r="AR13" s="206"/>
      <c r="AS13" s="1114"/>
      <c r="AT13" s="19"/>
      <c r="AU13" s="18"/>
      <c r="AV13" s="299">
        <f t="shared" si="0"/>
        <v>200</v>
      </c>
      <c r="AW13" s="299">
        <f t="shared" si="1"/>
        <v>228</v>
      </c>
      <c r="AX13" s="206">
        <v>258</v>
      </c>
      <c r="AY13" s="954">
        <v>604</v>
      </c>
      <c r="AZ13" s="299">
        <f t="shared" si="2"/>
        <v>458</v>
      </c>
      <c r="BA13" s="52">
        <f t="shared" si="3"/>
        <v>832</v>
      </c>
    </row>
    <row r="14" spans="1:54" ht="15">
      <c r="A14" s="42" t="s">
        <v>18</v>
      </c>
      <c r="B14" s="54"/>
      <c r="C14" s="14"/>
      <c r="D14" s="19"/>
      <c r="E14" s="22"/>
      <c r="F14" s="21"/>
      <c r="G14" s="18"/>
      <c r="H14" s="19">
        <v>7689</v>
      </c>
      <c r="I14" s="947">
        <v>1666</v>
      </c>
      <c r="J14" s="19"/>
      <c r="K14" s="22"/>
      <c r="L14" s="19"/>
      <c r="M14" s="947"/>
      <c r="N14" s="19"/>
      <c r="O14" s="22"/>
      <c r="P14" s="19"/>
      <c r="Q14" s="947"/>
      <c r="R14" s="19"/>
      <c r="S14" s="22"/>
      <c r="T14" s="21"/>
      <c r="U14" s="947"/>
      <c r="V14" s="19"/>
      <c r="W14" s="22"/>
      <c r="X14" s="21">
        <v>7110</v>
      </c>
      <c r="Y14" s="18">
        <v>6516</v>
      </c>
      <c r="Z14" s="19"/>
      <c r="AA14" s="947"/>
      <c r="AB14" s="19"/>
      <c r="AC14" s="22"/>
      <c r="AD14" s="21"/>
      <c r="AE14" s="947"/>
      <c r="AF14" s="19"/>
      <c r="AG14" s="22"/>
      <c r="AH14" s="21"/>
      <c r="AI14" s="947"/>
      <c r="AJ14" s="195"/>
      <c r="AK14" s="191"/>
      <c r="AL14" s="303"/>
      <c r="AM14" s="207"/>
      <c r="AN14" s="1103"/>
      <c r="AO14" s="17"/>
      <c r="AP14" s="26"/>
      <c r="AQ14" s="372"/>
      <c r="AR14" s="206"/>
      <c r="AS14" s="1114"/>
      <c r="AT14" s="19"/>
      <c r="AU14" s="18"/>
      <c r="AV14" s="299">
        <f t="shared" si="0"/>
        <v>14799</v>
      </c>
      <c r="AW14" s="299">
        <f t="shared" si="1"/>
        <v>8182</v>
      </c>
      <c r="AX14" s="206"/>
      <c r="AY14" s="954"/>
      <c r="AZ14" s="299">
        <f t="shared" si="2"/>
        <v>14799</v>
      </c>
      <c r="BA14" s="52">
        <f t="shared" si="3"/>
        <v>8182</v>
      </c>
    </row>
    <row r="15" spans="1:54" ht="15.75" thickBot="1">
      <c r="A15" s="42" t="s">
        <v>19</v>
      </c>
      <c r="B15" s="614"/>
      <c r="C15" s="615"/>
      <c r="D15" s="619"/>
      <c r="E15" s="618"/>
      <c r="F15" s="616"/>
      <c r="G15" s="617"/>
      <c r="H15" s="619"/>
      <c r="I15" s="1117">
        <v>13370</v>
      </c>
      <c r="J15" s="619"/>
      <c r="K15" s="618"/>
      <c r="L15" s="619"/>
      <c r="M15" s="1117"/>
      <c r="N15" s="619"/>
      <c r="O15" s="618"/>
      <c r="P15" s="619"/>
      <c r="Q15" s="1117">
        <v>541</v>
      </c>
      <c r="R15" s="619"/>
      <c r="S15" s="618"/>
      <c r="T15" s="616"/>
      <c r="U15" s="1117"/>
      <c r="V15" s="619">
        <v>8770</v>
      </c>
      <c r="W15" s="618">
        <v>4744</v>
      </c>
      <c r="X15" s="616">
        <v>8166</v>
      </c>
      <c r="Y15" s="617">
        <v>5401</v>
      </c>
      <c r="Z15" s="619"/>
      <c r="AA15" s="1117"/>
      <c r="AB15" s="619"/>
      <c r="AC15" s="618"/>
      <c r="AD15" s="616"/>
      <c r="AE15" s="1117"/>
      <c r="AF15" s="619"/>
      <c r="AG15" s="618"/>
      <c r="AH15" s="616"/>
      <c r="AI15" s="1117">
        <v>3872</v>
      </c>
      <c r="AJ15" s="1022">
        <v>52</v>
      </c>
      <c r="AK15" s="201">
        <v>39</v>
      </c>
      <c r="AL15" s="620"/>
      <c r="AM15" s="606"/>
      <c r="AN15" s="1107"/>
      <c r="AO15" s="1108"/>
      <c r="AP15" s="621"/>
      <c r="AQ15" s="1111"/>
      <c r="AR15" s="622"/>
      <c r="AS15" s="1115"/>
      <c r="AT15" s="619"/>
      <c r="AU15" s="617">
        <v>9679</v>
      </c>
      <c r="AV15" s="299">
        <f t="shared" si="0"/>
        <v>16988</v>
      </c>
      <c r="AW15" s="299">
        <f t="shared" si="1"/>
        <v>37646</v>
      </c>
      <c r="AX15" s="622"/>
      <c r="AY15" s="1096"/>
      <c r="AZ15" s="1099">
        <f t="shared" si="2"/>
        <v>16988</v>
      </c>
      <c r="BA15" s="623">
        <f t="shared" si="3"/>
        <v>37646</v>
      </c>
    </row>
    <row r="16" spans="1:54" s="375" customFormat="1" ht="15" thickBot="1">
      <c r="A16" s="687" t="s">
        <v>20</v>
      </c>
      <c r="B16" s="624">
        <f>SUM(B5:B15)</f>
        <v>50689</v>
      </c>
      <c r="C16" s="624">
        <f t="shared" ref="C16:AH16" si="4">SUM(C5:C15)</f>
        <v>52444</v>
      </c>
      <c r="D16" s="624">
        <f t="shared" si="4"/>
        <v>5763</v>
      </c>
      <c r="E16" s="629">
        <f t="shared" si="4"/>
        <v>3459</v>
      </c>
      <c r="F16" s="628">
        <f t="shared" si="4"/>
        <v>3694</v>
      </c>
      <c r="G16" s="624">
        <f t="shared" si="4"/>
        <v>4541</v>
      </c>
      <c r="H16" s="624">
        <f t="shared" si="4"/>
        <v>58718</v>
      </c>
      <c r="I16" s="625">
        <f t="shared" si="4"/>
        <v>90361</v>
      </c>
      <c r="J16" s="624">
        <f t="shared" si="4"/>
        <v>62620</v>
      </c>
      <c r="K16" s="629">
        <f t="shared" si="4"/>
        <v>21468</v>
      </c>
      <c r="L16" s="624">
        <f t="shared" si="4"/>
        <v>23834</v>
      </c>
      <c r="M16" s="625">
        <f t="shared" si="4"/>
        <v>25227</v>
      </c>
      <c r="N16" s="624">
        <f t="shared" si="4"/>
        <v>9816</v>
      </c>
      <c r="O16" s="629">
        <f t="shared" si="4"/>
        <v>4377</v>
      </c>
      <c r="P16" s="624">
        <f t="shared" si="4"/>
        <v>13831</v>
      </c>
      <c r="Q16" s="625">
        <f t="shared" si="4"/>
        <v>18007</v>
      </c>
      <c r="R16" s="624">
        <f t="shared" si="4"/>
        <v>36664</v>
      </c>
      <c r="S16" s="629">
        <f t="shared" si="4"/>
        <v>24530</v>
      </c>
      <c r="T16" s="628">
        <f t="shared" si="4"/>
        <v>9644</v>
      </c>
      <c r="U16" s="625">
        <f t="shared" si="4"/>
        <v>11242</v>
      </c>
      <c r="V16" s="624">
        <f t="shared" si="4"/>
        <v>203318</v>
      </c>
      <c r="W16" s="629">
        <f t="shared" si="4"/>
        <v>194538</v>
      </c>
      <c r="X16" s="628">
        <f t="shared" si="4"/>
        <v>163331</v>
      </c>
      <c r="Y16" s="624">
        <f t="shared" si="4"/>
        <v>120954</v>
      </c>
      <c r="Z16" s="624">
        <f t="shared" si="4"/>
        <v>11396</v>
      </c>
      <c r="AA16" s="625">
        <f t="shared" si="4"/>
        <v>5009</v>
      </c>
      <c r="AB16" s="624">
        <f t="shared" si="4"/>
        <v>35001</v>
      </c>
      <c r="AC16" s="629">
        <f t="shared" si="4"/>
        <v>24239</v>
      </c>
      <c r="AD16" s="628">
        <f t="shared" si="4"/>
        <v>54069</v>
      </c>
      <c r="AE16" s="625">
        <f t="shared" si="4"/>
        <v>58189</v>
      </c>
      <c r="AF16" s="624">
        <f t="shared" si="4"/>
        <v>113213</v>
      </c>
      <c r="AG16" s="629">
        <f t="shared" si="4"/>
        <v>122153</v>
      </c>
      <c r="AH16" s="628">
        <f t="shared" si="4"/>
        <v>39505</v>
      </c>
      <c r="AI16" s="625">
        <f t="shared" ref="AI16:AU16" si="5">SUM(AI5:AI15)</f>
        <v>42703</v>
      </c>
      <c r="AJ16" s="624">
        <f t="shared" si="5"/>
        <v>52780</v>
      </c>
      <c r="AK16" s="629">
        <f t="shared" si="5"/>
        <v>37889</v>
      </c>
      <c r="AL16" s="624">
        <f t="shared" si="5"/>
        <v>0</v>
      </c>
      <c r="AM16" s="707">
        <f t="shared" si="5"/>
        <v>0</v>
      </c>
      <c r="AN16" s="624">
        <f t="shared" si="5"/>
        <v>295096</v>
      </c>
      <c r="AO16" s="627">
        <f t="shared" si="5"/>
        <v>189700</v>
      </c>
      <c r="AP16" s="628">
        <f t="shared" si="5"/>
        <v>47187</v>
      </c>
      <c r="AQ16" s="625">
        <f t="shared" si="5"/>
        <v>32208</v>
      </c>
      <c r="AR16" s="624">
        <f t="shared" si="5"/>
        <v>12960</v>
      </c>
      <c r="AS16" s="629">
        <f t="shared" si="5"/>
        <v>8580</v>
      </c>
      <c r="AT16" s="624">
        <f t="shared" si="5"/>
        <v>80057</v>
      </c>
      <c r="AU16" s="624">
        <f t="shared" si="5"/>
        <v>95371</v>
      </c>
      <c r="AV16" s="630">
        <f t="shared" si="0"/>
        <v>1383186</v>
      </c>
      <c r="AW16" s="631">
        <f t="shared" si="1"/>
        <v>1187189</v>
      </c>
      <c r="AX16" s="632">
        <f>SUM(AX5:AX15)</f>
        <v>3522204</v>
      </c>
      <c r="AY16" s="1070">
        <f>SUM(AY5:AY15)</f>
        <v>1912611</v>
      </c>
      <c r="AZ16" s="630">
        <f t="shared" si="2"/>
        <v>4905390</v>
      </c>
      <c r="BA16" s="634">
        <f t="shared" si="3"/>
        <v>3099800</v>
      </c>
    </row>
    <row r="17" spans="1:53" s="706" customFormat="1" ht="15" thickBot="1">
      <c r="A17" s="689" t="s">
        <v>11</v>
      </c>
      <c r="B17" s="690"/>
      <c r="C17" s="691"/>
      <c r="D17" s="695"/>
      <c r="E17" s="694"/>
      <c r="F17" s="692"/>
      <c r="G17" s="693"/>
      <c r="H17" s="695"/>
      <c r="I17" s="1118"/>
      <c r="J17" s="695"/>
      <c r="K17" s="694"/>
      <c r="L17" s="695"/>
      <c r="M17" s="1118"/>
      <c r="N17" s="695">
        <v>219</v>
      </c>
      <c r="O17" s="694"/>
      <c r="P17" s="699"/>
      <c r="Q17" s="1120"/>
      <c r="R17" s="699">
        <v>1760</v>
      </c>
      <c r="S17" s="698">
        <v>844</v>
      </c>
      <c r="T17" s="696"/>
      <c r="U17" s="1120"/>
      <c r="V17" s="699"/>
      <c r="W17" s="698"/>
      <c r="X17" s="696"/>
      <c r="Y17" s="697"/>
      <c r="Z17" s="699"/>
      <c r="AA17" s="1120"/>
      <c r="AB17" s="695"/>
      <c r="AC17" s="694"/>
      <c r="AD17" s="692">
        <v>44</v>
      </c>
      <c r="AE17" s="1118">
        <v>48</v>
      </c>
      <c r="AF17" s="695"/>
      <c r="AG17" s="694"/>
      <c r="AH17" s="692">
        <v>-1</v>
      </c>
      <c r="AI17" s="1118">
        <v>-2</v>
      </c>
      <c r="AJ17" s="695"/>
      <c r="AK17" s="694"/>
      <c r="AL17" s="700"/>
      <c r="AM17" s="1100"/>
      <c r="AN17" s="1109"/>
      <c r="AO17" s="701"/>
      <c r="AP17" s="702"/>
      <c r="AQ17" s="1112"/>
      <c r="AR17" s="704"/>
      <c r="AS17" s="703"/>
      <c r="AT17" s="695"/>
      <c r="AU17" s="693"/>
      <c r="AV17" s="699">
        <f t="shared" si="0"/>
        <v>2022</v>
      </c>
      <c r="AW17" s="699">
        <f t="shared" si="1"/>
        <v>890</v>
      </c>
      <c r="AX17" s="704"/>
      <c r="AY17" s="1097"/>
      <c r="AZ17" s="699">
        <f t="shared" si="2"/>
        <v>2022</v>
      </c>
      <c r="BA17" s="705">
        <f t="shared" si="3"/>
        <v>890</v>
      </c>
    </row>
    <row r="18" spans="1:53" s="375" customFormat="1" ht="15" thickBot="1">
      <c r="A18" s="687" t="s">
        <v>12</v>
      </c>
      <c r="B18" s="624">
        <f>B16+B17</f>
        <v>50689</v>
      </c>
      <c r="C18" s="624">
        <f t="shared" ref="C18:AH18" si="6">C16+C17</f>
        <v>52444</v>
      </c>
      <c r="D18" s="624">
        <f t="shared" si="6"/>
        <v>5763</v>
      </c>
      <c r="E18" s="629">
        <f t="shared" si="6"/>
        <v>3459</v>
      </c>
      <c r="F18" s="628">
        <f t="shared" si="6"/>
        <v>3694</v>
      </c>
      <c r="G18" s="624">
        <f t="shared" si="6"/>
        <v>4541</v>
      </c>
      <c r="H18" s="624">
        <f t="shared" si="6"/>
        <v>58718</v>
      </c>
      <c r="I18" s="625">
        <f t="shared" si="6"/>
        <v>90361</v>
      </c>
      <c r="J18" s="624">
        <f t="shared" si="6"/>
        <v>62620</v>
      </c>
      <c r="K18" s="629">
        <f t="shared" si="6"/>
        <v>21468</v>
      </c>
      <c r="L18" s="624">
        <f t="shared" si="6"/>
        <v>23834</v>
      </c>
      <c r="M18" s="625">
        <f t="shared" si="6"/>
        <v>25227</v>
      </c>
      <c r="N18" s="624">
        <f t="shared" si="6"/>
        <v>10035</v>
      </c>
      <c r="O18" s="629">
        <f t="shared" si="6"/>
        <v>4377</v>
      </c>
      <c r="P18" s="624">
        <f t="shared" si="6"/>
        <v>13831</v>
      </c>
      <c r="Q18" s="625">
        <f t="shared" si="6"/>
        <v>18007</v>
      </c>
      <c r="R18" s="624">
        <f t="shared" si="6"/>
        <v>38424</v>
      </c>
      <c r="S18" s="629">
        <f t="shared" si="6"/>
        <v>25374</v>
      </c>
      <c r="T18" s="628">
        <f t="shared" si="6"/>
        <v>9644</v>
      </c>
      <c r="U18" s="625">
        <f t="shared" si="6"/>
        <v>11242</v>
      </c>
      <c r="V18" s="624">
        <f t="shared" si="6"/>
        <v>203318</v>
      </c>
      <c r="W18" s="629">
        <f t="shared" si="6"/>
        <v>194538</v>
      </c>
      <c r="X18" s="628">
        <f t="shared" si="6"/>
        <v>163331</v>
      </c>
      <c r="Y18" s="624">
        <f t="shared" si="6"/>
        <v>120954</v>
      </c>
      <c r="Z18" s="624">
        <f t="shared" si="6"/>
        <v>11396</v>
      </c>
      <c r="AA18" s="625">
        <f t="shared" si="6"/>
        <v>5009</v>
      </c>
      <c r="AB18" s="624">
        <f t="shared" si="6"/>
        <v>35001</v>
      </c>
      <c r="AC18" s="629">
        <f t="shared" si="6"/>
        <v>24239</v>
      </c>
      <c r="AD18" s="628">
        <f t="shared" si="6"/>
        <v>54113</v>
      </c>
      <c r="AE18" s="625">
        <f t="shared" si="6"/>
        <v>58237</v>
      </c>
      <c r="AF18" s="624">
        <f t="shared" si="6"/>
        <v>113213</v>
      </c>
      <c r="AG18" s="629">
        <f t="shared" si="6"/>
        <v>122153</v>
      </c>
      <c r="AH18" s="628">
        <f t="shared" si="6"/>
        <v>39504</v>
      </c>
      <c r="AI18" s="625">
        <f t="shared" ref="AI18:AU18" si="7">AI16+AI17</f>
        <v>42701</v>
      </c>
      <c r="AJ18" s="624">
        <f t="shared" si="7"/>
        <v>52780</v>
      </c>
      <c r="AK18" s="629">
        <f t="shared" si="7"/>
        <v>37889</v>
      </c>
      <c r="AL18" s="624">
        <f t="shared" si="7"/>
        <v>0</v>
      </c>
      <c r="AM18" s="707">
        <f t="shared" si="7"/>
        <v>0</v>
      </c>
      <c r="AN18" s="624">
        <f t="shared" si="7"/>
        <v>295096</v>
      </c>
      <c r="AO18" s="627">
        <f t="shared" si="7"/>
        <v>189700</v>
      </c>
      <c r="AP18" s="628">
        <f t="shared" si="7"/>
        <v>47187</v>
      </c>
      <c r="AQ18" s="625">
        <f t="shared" si="7"/>
        <v>32208</v>
      </c>
      <c r="AR18" s="624">
        <f t="shared" si="7"/>
        <v>12960</v>
      </c>
      <c r="AS18" s="629">
        <f t="shared" si="7"/>
        <v>8580</v>
      </c>
      <c r="AT18" s="624">
        <f t="shared" si="7"/>
        <v>80057</v>
      </c>
      <c r="AU18" s="624">
        <f t="shared" si="7"/>
        <v>95371</v>
      </c>
      <c r="AV18" s="630">
        <f t="shared" si="0"/>
        <v>1385208</v>
      </c>
      <c r="AW18" s="631">
        <f t="shared" si="1"/>
        <v>1188079</v>
      </c>
      <c r="AX18" s="630">
        <f>AX16+AX17</f>
        <v>3522204</v>
      </c>
      <c r="AY18" s="1098">
        <f>AY16+AY17</f>
        <v>1912611</v>
      </c>
      <c r="AZ18" s="630">
        <f t="shared" si="2"/>
        <v>4907412</v>
      </c>
      <c r="BA18" s="634">
        <f t="shared" si="3"/>
        <v>3100690</v>
      </c>
    </row>
    <row r="20" spans="1:53">
      <c r="AW20" s="39"/>
    </row>
  </sheetData>
  <mergeCells count="28">
    <mergeCell ref="D3:E3"/>
    <mergeCell ref="P3:Q3"/>
    <mergeCell ref="L3:M3"/>
    <mergeCell ref="N3:O3"/>
    <mergeCell ref="H3:I3"/>
    <mergeCell ref="AX3:AY3"/>
    <mergeCell ref="AV3:AW3"/>
    <mergeCell ref="AT3:AU3"/>
    <mergeCell ref="AR3:AS3"/>
    <mergeCell ref="AP3:AQ3"/>
    <mergeCell ref="A1:BA1"/>
    <mergeCell ref="A2:BA2"/>
    <mergeCell ref="A3:A4"/>
    <mergeCell ref="AB3:AC3"/>
    <mergeCell ref="Z3:AA3"/>
    <mergeCell ref="X3:Y3"/>
    <mergeCell ref="AJ3:AK3"/>
    <mergeCell ref="AH3:AI3"/>
    <mergeCell ref="AF3:AG3"/>
    <mergeCell ref="R3:S3"/>
    <mergeCell ref="V3:W3"/>
    <mergeCell ref="T3:U3"/>
    <mergeCell ref="F3:G3"/>
    <mergeCell ref="J3:K3"/>
    <mergeCell ref="AZ3:BA3"/>
    <mergeCell ref="AN3:AO3"/>
    <mergeCell ref="AD3:AE3"/>
    <mergeCell ref="AL3:AM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44"/>
  <sheetViews>
    <sheetView workbookViewId="0">
      <pane xSplit="1" topLeftCell="AP1" activePane="topRight" state="frozen"/>
      <selection pane="topRight" activeCell="AQ41" sqref="AQ41"/>
    </sheetView>
    <sheetView topLeftCell="K1" workbookViewId="1">
      <selection sqref="A1:BA1"/>
    </sheetView>
  </sheetViews>
  <sheetFormatPr defaultRowHeight="14.25"/>
  <cols>
    <col min="1" max="1" width="26.5703125" style="39" customWidth="1"/>
    <col min="2" max="3" width="11.42578125" style="39" bestFit="1" customWidth="1"/>
    <col min="4" max="39" width="11.7109375" style="39" bestFit="1" customWidth="1"/>
    <col min="40" max="41" width="11.7109375" style="209" bestFit="1" customWidth="1"/>
    <col min="42" max="53" width="11.7109375" style="39" bestFit="1" customWidth="1"/>
    <col min="54" max="16384" width="9.140625" style="39"/>
  </cols>
  <sheetData>
    <row r="1" spans="1:53">
      <c r="A1" s="1214" t="s">
        <v>157</v>
      </c>
      <c r="B1" s="1214"/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  <c r="V1" s="1214"/>
      <c r="W1" s="1214"/>
      <c r="X1" s="1214"/>
      <c r="Y1" s="1214"/>
      <c r="Z1" s="1214"/>
      <c r="AA1" s="1214"/>
      <c r="AB1" s="1214"/>
      <c r="AC1" s="1214"/>
      <c r="AD1" s="1214"/>
      <c r="AE1" s="1214"/>
      <c r="AF1" s="1214"/>
      <c r="AG1" s="1214"/>
      <c r="AH1" s="1214"/>
      <c r="AI1" s="1214"/>
      <c r="AJ1" s="1214"/>
      <c r="AK1" s="1214"/>
      <c r="AL1" s="1214"/>
      <c r="AM1" s="1214"/>
      <c r="AN1" s="1214"/>
      <c r="AO1" s="1214"/>
      <c r="AP1" s="1214"/>
      <c r="AQ1" s="1214"/>
      <c r="AR1" s="1214"/>
      <c r="AS1" s="1214"/>
      <c r="AT1" s="1214"/>
      <c r="AU1" s="1214"/>
      <c r="AV1" s="1214"/>
      <c r="AW1" s="1214"/>
      <c r="AX1" s="1214"/>
      <c r="AY1" s="1214"/>
      <c r="AZ1" s="1214"/>
      <c r="BA1" s="1214"/>
    </row>
    <row r="2" spans="1:53" ht="16.5" thickBot="1">
      <c r="A2" s="1215" t="s">
        <v>158</v>
      </c>
      <c r="B2" s="1215"/>
      <c r="C2" s="1215"/>
      <c r="D2" s="1215"/>
      <c r="E2" s="1215"/>
      <c r="F2" s="1215"/>
      <c r="G2" s="1215"/>
      <c r="H2" s="1215"/>
      <c r="I2" s="1215"/>
      <c r="J2" s="1215"/>
      <c r="K2" s="1215"/>
      <c r="L2" s="1215"/>
      <c r="M2" s="1215"/>
      <c r="N2" s="1215"/>
      <c r="O2" s="1215"/>
      <c r="P2" s="1215"/>
      <c r="Q2" s="1215"/>
      <c r="R2" s="1215"/>
      <c r="S2" s="1215"/>
      <c r="T2" s="1215"/>
      <c r="U2" s="1215"/>
      <c r="V2" s="1215"/>
      <c r="W2" s="1215"/>
      <c r="X2" s="1215"/>
      <c r="Y2" s="1215"/>
      <c r="Z2" s="1215"/>
      <c r="AA2" s="1215"/>
      <c r="AB2" s="1215"/>
      <c r="AC2" s="1215"/>
      <c r="AD2" s="1215"/>
      <c r="AE2" s="1215"/>
      <c r="AF2" s="1215"/>
      <c r="AG2" s="1215"/>
      <c r="AH2" s="1215"/>
      <c r="AI2" s="1215"/>
      <c r="AJ2" s="1215"/>
      <c r="AK2" s="1215"/>
      <c r="AL2" s="1215"/>
      <c r="AM2" s="1215"/>
      <c r="AN2" s="1215"/>
      <c r="AO2" s="1215"/>
      <c r="AP2" s="1215"/>
      <c r="AQ2" s="1215"/>
      <c r="AR2" s="1215"/>
      <c r="AS2" s="1215"/>
      <c r="AT2" s="1215"/>
      <c r="AU2" s="1215"/>
      <c r="AV2" s="1215"/>
      <c r="AW2" s="1215"/>
      <c r="AX2" s="1215"/>
      <c r="AY2" s="1215"/>
      <c r="AZ2" s="1215"/>
      <c r="BA2" s="1215"/>
    </row>
    <row r="3" spans="1:53" ht="46.5" customHeight="1" thickBot="1">
      <c r="A3" s="1216" t="s">
        <v>0</v>
      </c>
      <c r="B3" s="940" t="s">
        <v>164</v>
      </c>
      <c r="C3" s="940"/>
      <c r="D3" s="1208" t="s">
        <v>165</v>
      </c>
      <c r="E3" s="1209"/>
      <c r="F3" s="1208" t="s">
        <v>166</v>
      </c>
      <c r="G3" s="1212"/>
      <c r="H3" s="1208" t="s">
        <v>167</v>
      </c>
      <c r="I3" s="1209"/>
      <c r="J3" s="1208" t="s">
        <v>168</v>
      </c>
      <c r="K3" s="1209"/>
      <c r="L3" s="1208" t="s">
        <v>169</v>
      </c>
      <c r="M3" s="1209"/>
      <c r="N3" s="1208" t="s">
        <v>372</v>
      </c>
      <c r="O3" s="1212"/>
      <c r="P3" s="1208" t="s">
        <v>171</v>
      </c>
      <c r="Q3" s="1209"/>
      <c r="R3" s="1208" t="s">
        <v>172</v>
      </c>
      <c r="S3" s="1209"/>
      <c r="T3" s="1208" t="s">
        <v>173</v>
      </c>
      <c r="U3" s="1209"/>
      <c r="V3" s="1208" t="s">
        <v>174</v>
      </c>
      <c r="W3" s="1209"/>
      <c r="X3" s="1208" t="s">
        <v>175</v>
      </c>
      <c r="Y3" s="1212"/>
      <c r="Z3" s="1208" t="s">
        <v>176</v>
      </c>
      <c r="AA3" s="1209"/>
      <c r="AB3" s="1208" t="s">
        <v>177</v>
      </c>
      <c r="AC3" s="1209"/>
      <c r="AD3" s="1210" t="s">
        <v>178</v>
      </c>
      <c r="AE3" s="1211"/>
      <c r="AF3" s="1208" t="s">
        <v>179</v>
      </c>
      <c r="AG3" s="1209"/>
      <c r="AH3" s="1208" t="s">
        <v>180</v>
      </c>
      <c r="AI3" s="1209"/>
      <c r="AJ3" s="1208" t="s">
        <v>181</v>
      </c>
      <c r="AK3" s="1212"/>
      <c r="AL3" s="1210" t="s">
        <v>182</v>
      </c>
      <c r="AM3" s="1213"/>
      <c r="AN3" s="1210" t="s">
        <v>183</v>
      </c>
      <c r="AO3" s="1213"/>
      <c r="AP3" s="1208" t="s">
        <v>184</v>
      </c>
      <c r="AQ3" s="1209"/>
      <c r="AR3" s="1208" t="s">
        <v>185</v>
      </c>
      <c r="AS3" s="1209"/>
      <c r="AT3" s="1208" t="s">
        <v>186</v>
      </c>
      <c r="AU3" s="1212"/>
      <c r="AV3" s="1208" t="s">
        <v>1</v>
      </c>
      <c r="AW3" s="1209"/>
      <c r="AX3" s="1210" t="s">
        <v>187</v>
      </c>
      <c r="AY3" s="1211"/>
      <c r="AZ3" s="1210" t="s">
        <v>2</v>
      </c>
      <c r="BA3" s="1211"/>
    </row>
    <row r="4" spans="1:53" s="457" customFormat="1" ht="15" customHeight="1" thickBot="1">
      <c r="A4" s="1217"/>
      <c r="B4" s="466" t="s">
        <v>295</v>
      </c>
      <c r="C4" s="466" t="s">
        <v>363</v>
      </c>
      <c r="D4" s="466" t="s">
        <v>295</v>
      </c>
      <c r="E4" s="467" t="s">
        <v>363</v>
      </c>
      <c r="F4" s="466" t="s">
        <v>295</v>
      </c>
      <c r="G4" s="468" t="s">
        <v>363</v>
      </c>
      <c r="H4" s="466" t="s">
        <v>295</v>
      </c>
      <c r="I4" s="467" t="s">
        <v>363</v>
      </c>
      <c r="J4" s="466" t="s">
        <v>295</v>
      </c>
      <c r="K4" s="467" t="s">
        <v>363</v>
      </c>
      <c r="L4" s="466" t="s">
        <v>295</v>
      </c>
      <c r="M4" s="467" t="s">
        <v>363</v>
      </c>
      <c r="N4" s="466" t="s">
        <v>295</v>
      </c>
      <c r="O4" s="468" t="s">
        <v>363</v>
      </c>
      <c r="P4" s="466" t="s">
        <v>295</v>
      </c>
      <c r="Q4" s="467" t="s">
        <v>363</v>
      </c>
      <c r="R4" s="466" t="s">
        <v>295</v>
      </c>
      <c r="S4" s="467" t="s">
        <v>363</v>
      </c>
      <c r="T4" s="466" t="s">
        <v>295</v>
      </c>
      <c r="U4" s="467" t="s">
        <v>363</v>
      </c>
      <c r="V4" s="466" t="s">
        <v>295</v>
      </c>
      <c r="W4" s="467" t="s">
        <v>363</v>
      </c>
      <c r="X4" s="466" t="s">
        <v>295</v>
      </c>
      <c r="Y4" s="468" t="s">
        <v>363</v>
      </c>
      <c r="Z4" s="466" t="s">
        <v>295</v>
      </c>
      <c r="AA4" s="467" t="s">
        <v>363</v>
      </c>
      <c r="AB4" s="466" t="s">
        <v>295</v>
      </c>
      <c r="AC4" s="467" t="s">
        <v>363</v>
      </c>
      <c r="AD4" s="466" t="s">
        <v>295</v>
      </c>
      <c r="AE4" s="468" t="s">
        <v>363</v>
      </c>
      <c r="AF4" s="466" t="s">
        <v>295</v>
      </c>
      <c r="AG4" s="467" t="s">
        <v>363</v>
      </c>
      <c r="AH4" s="466" t="s">
        <v>295</v>
      </c>
      <c r="AI4" s="467" t="s">
        <v>363</v>
      </c>
      <c r="AJ4" s="466" t="s">
        <v>295</v>
      </c>
      <c r="AK4" s="468" t="s">
        <v>363</v>
      </c>
      <c r="AL4" s="466" t="s">
        <v>295</v>
      </c>
      <c r="AM4" s="467" t="s">
        <v>363</v>
      </c>
      <c r="AN4" s="466" t="s">
        <v>295</v>
      </c>
      <c r="AO4" s="467" t="s">
        <v>363</v>
      </c>
      <c r="AP4" s="466" t="s">
        <v>295</v>
      </c>
      <c r="AQ4" s="467" t="s">
        <v>363</v>
      </c>
      <c r="AR4" s="466" t="s">
        <v>295</v>
      </c>
      <c r="AS4" s="467" t="s">
        <v>363</v>
      </c>
      <c r="AT4" s="466" t="s">
        <v>295</v>
      </c>
      <c r="AU4" s="468" t="s">
        <v>363</v>
      </c>
      <c r="AV4" s="466" t="s">
        <v>295</v>
      </c>
      <c r="AW4" s="467" t="s">
        <v>363</v>
      </c>
      <c r="AX4" s="466" t="s">
        <v>295</v>
      </c>
      <c r="AY4" s="467" t="s">
        <v>363</v>
      </c>
      <c r="AZ4" s="466" t="s">
        <v>295</v>
      </c>
      <c r="BA4" s="468" t="s">
        <v>363</v>
      </c>
    </row>
    <row r="5" spans="1:53" ht="28.5">
      <c r="A5" s="997" t="s">
        <v>122</v>
      </c>
      <c r="B5" s="941">
        <v>579695</v>
      </c>
      <c r="C5" s="941">
        <v>609097</v>
      </c>
      <c r="D5" s="464"/>
      <c r="E5" s="684"/>
      <c r="F5" s="464"/>
      <c r="G5" s="462"/>
      <c r="H5" s="464">
        <v>48519</v>
      </c>
      <c r="I5" s="684">
        <v>1217864</v>
      </c>
      <c r="J5" s="464">
        <v>-394968</v>
      </c>
      <c r="K5" s="684">
        <v>-376303</v>
      </c>
      <c r="L5" s="464"/>
      <c r="M5" s="684"/>
      <c r="N5" s="464">
        <v>475635</v>
      </c>
      <c r="O5" s="684">
        <v>573354</v>
      </c>
      <c r="P5" s="464">
        <v>161439</v>
      </c>
      <c r="Q5" s="684"/>
      <c r="R5" s="464"/>
      <c r="S5" s="684"/>
      <c r="T5" s="464"/>
      <c r="U5" s="684"/>
      <c r="V5" s="464">
        <v>3503306</v>
      </c>
      <c r="W5" s="684">
        <v>3468822</v>
      </c>
      <c r="X5" s="464">
        <v>3688798</v>
      </c>
      <c r="Y5" s="684">
        <v>6461412</v>
      </c>
      <c r="Z5" s="464"/>
      <c r="AA5" s="684"/>
      <c r="AB5" s="464">
        <v>55024</v>
      </c>
      <c r="AC5" s="684">
        <v>55259</v>
      </c>
      <c r="AD5" s="464"/>
      <c r="AE5" s="462"/>
      <c r="AF5" s="464">
        <v>583415</v>
      </c>
      <c r="AG5" s="684">
        <v>1131133</v>
      </c>
      <c r="AH5" s="464">
        <v>107144</v>
      </c>
      <c r="AI5" s="684">
        <v>300127</v>
      </c>
      <c r="AJ5" s="464"/>
      <c r="AK5" s="684"/>
      <c r="AL5" s="464"/>
      <c r="AM5" s="684"/>
      <c r="AN5" s="463">
        <v>2154956</v>
      </c>
      <c r="AO5" s="967">
        <v>2822255</v>
      </c>
      <c r="AP5" s="464"/>
      <c r="AQ5" s="684"/>
      <c r="AR5" s="464">
        <v>219563</v>
      </c>
      <c r="AS5" s="684">
        <v>474746</v>
      </c>
      <c r="AT5" s="464"/>
      <c r="AU5" s="684"/>
      <c r="AV5" s="464">
        <f t="shared" ref="AV5:AV24" si="0">SUM(B5+D5+F5+H5+J5+L5+N5+P5+R5+T5+V5+X5+Z5+AB5+AD5+AF5+AH5+AJ5+AL5+AN5+AP5+AR5+AT5)</f>
        <v>11182526</v>
      </c>
      <c r="AW5" s="941">
        <f t="shared" ref="AW5:AW24" si="1">SUM(C5+E5+G5+I5+K5+M5+O5+Q5+S5+U5+W5+Y5+AA5+AC5+AE5+AG5+AI5+AK5+AM5+AO5+AQ5+AS5+AU5)</f>
        <v>16737766</v>
      </c>
      <c r="AX5" s="464"/>
      <c r="AY5" s="461"/>
      <c r="AZ5" s="464">
        <f t="shared" ref="AZ5:AZ24" si="2">AV5+AX5</f>
        <v>11182526</v>
      </c>
      <c r="BA5" s="465">
        <f t="shared" ref="BA5:BA24" si="3">AW5+AY5</f>
        <v>16737766</v>
      </c>
    </row>
    <row r="6" spans="1:53">
      <c r="A6" s="809" t="s">
        <v>123</v>
      </c>
      <c r="B6" s="331"/>
      <c r="C6" s="331"/>
      <c r="D6" s="19"/>
      <c r="E6" s="947"/>
      <c r="F6" s="19"/>
      <c r="G6" s="22"/>
      <c r="H6" s="19"/>
      <c r="I6" s="947"/>
      <c r="J6" s="19"/>
      <c r="K6" s="947"/>
      <c r="L6" s="19"/>
      <c r="M6" s="947"/>
      <c r="N6" s="19"/>
      <c r="O6" s="947"/>
      <c r="P6" s="19"/>
      <c r="Q6" s="947"/>
      <c r="R6" s="19"/>
      <c r="S6" s="947"/>
      <c r="T6" s="19"/>
      <c r="U6" s="947"/>
      <c r="V6" s="19"/>
      <c r="W6" s="947"/>
      <c r="X6" s="19"/>
      <c r="Y6" s="947"/>
      <c r="Z6" s="288"/>
      <c r="AA6" s="986"/>
      <c r="AB6" s="19"/>
      <c r="AC6" s="947"/>
      <c r="AD6" s="19"/>
      <c r="AE6" s="22"/>
      <c r="AF6" s="19"/>
      <c r="AG6" s="947"/>
      <c r="AH6" s="19"/>
      <c r="AI6" s="947"/>
      <c r="AJ6" s="19"/>
      <c r="AK6" s="947"/>
      <c r="AL6" s="979"/>
      <c r="AM6" s="947"/>
      <c r="AN6" s="267"/>
      <c r="AO6" s="968"/>
      <c r="AP6" s="973"/>
      <c r="AQ6" s="372"/>
      <c r="AR6" s="206"/>
      <c r="AS6" s="954"/>
      <c r="AT6" s="19"/>
      <c r="AU6" s="947"/>
      <c r="AV6" s="15">
        <f t="shared" si="0"/>
        <v>0</v>
      </c>
      <c r="AW6" s="332">
        <f t="shared" si="1"/>
        <v>0</v>
      </c>
      <c r="AX6" s="206"/>
      <c r="AY6" s="29"/>
      <c r="AZ6" s="15">
        <f t="shared" si="2"/>
        <v>0</v>
      </c>
      <c r="BA6" s="938">
        <f t="shared" si="3"/>
        <v>0</v>
      </c>
    </row>
    <row r="7" spans="1:53" ht="28.5">
      <c r="A7" s="809" t="s">
        <v>124</v>
      </c>
      <c r="B7" s="331">
        <v>426866</v>
      </c>
      <c r="C7" s="331">
        <v>465243</v>
      </c>
      <c r="D7" s="19">
        <v>10421</v>
      </c>
      <c r="E7" s="947">
        <v>10047</v>
      </c>
      <c r="F7" s="19">
        <v>126593</v>
      </c>
      <c r="G7" s="22">
        <v>114741</v>
      </c>
      <c r="H7" s="19">
        <v>1668677</v>
      </c>
      <c r="I7" s="947">
        <v>1215833</v>
      </c>
      <c r="J7" s="19">
        <v>58916</v>
      </c>
      <c r="K7" s="947">
        <v>63436</v>
      </c>
      <c r="L7" s="19">
        <v>182745</v>
      </c>
      <c r="M7" s="947">
        <v>203943</v>
      </c>
      <c r="N7" s="19">
        <v>134511</v>
      </c>
      <c r="O7" s="947">
        <v>96824</v>
      </c>
      <c r="P7" s="19">
        <v>145388</v>
      </c>
      <c r="Q7" s="947">
        <v>71947</v>
      </c>
      <c r="R7" s="19">
        <v>183801</v>
      </c>
      <c r="S7" s="947">
        <v>179958</v>
      </c>
      <c r="T7" s="19">
        <v>49736</v>
      </c>
      <c r="U7" s="947">
        <v>42741</v>
      </c>
      <c r="V7" s="19">
        <v>840769</v>
      </c>
      <c r="W7" s="947">
        <v>949741</v>
      </c>
      <c r="X7" s="19">
        <v>1086628</v>
      </c>
      <c r="Y7" s="947">
        <v>1102377</v>
      </c>
      <c r="Z7" s="55">
        <v>101343</v>
      </c>
      <c r="AA7" s="986">
        <v>97911</v>
      </c>
      <c r="AB7" s="19">
        <v>102959</v>
      </c>
      <c r="AC7" s="947">
        <v>127695</v>
      </c>
      <c r="AD7" s="19">
        <v>475953</v>
      </c>
      <c r="AE7" s="22">
        <v>556875</v>
      </c>
      <c r="AF7" s="19">
        <v>433262</v>
      </c>
      <c r="AG7" s="947">
        <v>493784</v>
      </c>
      <c r="AH7" s="19">
        <v>223741</v>
      </c>
      <c r="AI7" s="947">
        <v>243724</v>
      </c>
      <c r="AJ7" s="19">
        <v>222909</v>
      </c>
      <c r="AK7" s="947">
        <v>197999</v>
      </c>
      <c r="AL7" s="979"/>
      <c r="AM7" s="947"/>
      <c r="AN7" s="268">
        <v>1091455</v>
      </c>
      <c r="AO7" s="969">
        <v>1160032</v>
      </c>
      <c r="AP7" s="973">
        <v>48500</v>
      </c>
      <c r="AQ7" s="372">
        <v>60904</v>
      </c>
      <c r="AR7" s="206">
        <v>93655</v>
      </c>
      <c r="AS7" s="954">
        <v>91120</v>
      </c>
      <c r="AT7" s="19">
        <v>351416</v>
      </c>
      <c r="AU7" s="947">
        <v>317148</v>
      </c>
      <c r="AV7" s="15">
        <f t="shared" si="0"/>
        <v>8060244</v>
      </c>
      <c r="AW7" s="332">
        <f t="shared" si="1"/>
        <v>7864023</v>
      </c>
      <c r="AX7" s="206">
        <v>45770</v>
      </c>
      <c r="AY7" s="29">
        <v>43299</v>
      </c>
      <c r="AZ7" s="15">
        <f t="shared" si="2"/>
        <v>8106014</v>
      </c>
      <c r="BA7" s="938">
        <f t="shared" si="3"/>
        <v>7907322</v>
      </c>
    </row>
    <row r="8" spans="1:53" ht="28.5">
      <c r="A8" s="809" t="s">
        <v>125</v>
      </c>
      <c r="B8" s="331">
        <v>4193</v>
      </c>
      <c r="C8" s="331">
        <v>9316</v>
      </c>
      <c r="D8" s="19"/>
      <c r="E8" s="947"/>
      <c r="F8" s="19">
        <v>65</v>
      </c>
      <c r="G8" s="22">
        <v>204</v>
      </c>
      <c r="H8" s="19">
        <v>799123</v>
      </c>
      <c r="I8" s="947">
        <v>1478695</v>
      </c>
      <c r="J8" s="19">
        <v>23131</v>
      </c>
      <c r="K8" s="947">
        <v>47661</v>
      </c>
      <c r="L8" s="19">
        <v>99259</v>
      </c>
      <c r="M8" s="947">
        <v>53265</v>
      </c>
      <c r="N8" s="19">
        <v>32356</v>
      </c>
      <c r="O8" s="947">
        <v>47769</v>
      </c>
      <c r="P8" s="19">
        <v>55885</v>
      </c>
      <c r="Q8" s="947">
        <v>10352</v>
      </c>
      <c r="R8" s="19">
        <v>6351</v>
      </c>
      <c r="S8" s="947">
        <v>796</v>
      </c>
      <c r="T8" s="19">
        <v>6387</v>
      </c>
      <c r="U8" s="947">
        <v>17335</v>
      </c>
      <c r="V8" s="19">
        <v>180593</v>
      </c>
      <c r="W8" s="947">
        <v>14790</v>
      </c>
      <c r="X8" s="19">
        <v>364884</v>
      </c>
      <c r="Y8" s="947">
        <v>1260368</v>
      </c>
      <c r="Z8" s="55">
        <v>23525</v>
      </c>
      <c r="AA8" s="986">
        <v>1366</v>
      </c>
      <c r="AB8" s="19"/>
      <c r="AC8" s="947">
        <v>1602</v>
      </c>
      <c r="AD8" s="19"/>
      <c r="AE8" s="22">
        <v>8290</v>
      </c>
      <c r="AF8" s="19">
        <v>107726</v>
      </c>
      <c r="AG8" s="947">
        <v>48051</v>
      </c>
      <c r="AH8" s="19">
        <v>9568</v>
      </c>
      <c r="AI8" s="947"/>
      <c r="AJ8" s="19">
        <v>240941</v>
      </c>
      <c r="AK8" s="947">
        <v>81581</v>
      </c>
      <c r="AL8" s="979"/>
      <c r="AM8" s="947"/>
      <c r="AN8" s="268">
        <v>633118</v>
      </c>
      <c r="AO8" s="969">
        <v>190766</v>
      </c>
      <c r="AP8" s="973">
        <v>25460</v>
      </c>
      <c r="AQ8" s="372">
        <v>101702</v>
      </c>
      <c r="AR8" s="206">
        <v>52213</v>
      </c>
      <c r="AS8" s="954">
        <v>103343</v>
      </c>
      <c r="AT8" s="19">
        <v>848</v>
      </c>
      <c r="AU8" s="947">
        <v>51549</v>
      </c>
      <c r="AV8" s="15">
        <f t="shared" si="0"/>
        <v>2665626</v>
      </c>
      <c r="AW8" s="332">
        <f t="shared" si="1"/>
        <v>3528801</v>
      </c>
      <c r="AX8" s="206">
        <v>4958</v>
      </c>
      <c r="AY8" s="29">
        <v>2217</v>
      </c>
      <c r="AZ8" s="15">
        <f t="shared" si="2"/>
        <v>2670584</v>
      </c>
      <c r="BA8" s="938">
        <f t="shared" si="3"/>
        <v>3531018</v>
      </c>
    </row>
    <row r="9" spans="1:53" ht="28.5">
      <c r="A9" s="809" t="s">
        <v>126</v>
      </c>
      <c r="B9" s="331"/>
      <c r="C9" s="331"/>
      <c r="D9" s="19"/>
      <c r="E9" s="947"/>
      <c r="F9" s="19">
        <v>-323</v>
      </c>
      <c r="G9" s="22">
        <v>-49491</v>
      </c>
      <c r="H9" s="19">
        <v>-92533</v>
      </c>
      <c r="I9" s="947">
        <v>-445855</v>
      </c>
      <c r="J9" s="19">
        <v>-4673</v>
      </c>
      <c r="K9" s="947">
        <v>-40149</v>
      </c>
      <c r="L9" s="19"/>
      <c r="M9" s="947"/>
      <c r="N9" s="19">
        <v>-4947</v>
      </c>
      <c r="O9" s="947">
        <v>-20387</v>
      </c>
      <c r="P9" s="19">
        <v>-18008</v>
      </c>
      <c r="Q9" s="947">
        <v>-17647</v>
      </c>
      <c r="R9" s="19"/>
      <c r="S9" s="947"/>
      <c r="T9" s="19">
        <v>-6826</v>
      </c>
      <c r="U9" s="947">
        <v>-12184</v>
      </c>
      <c r="V9" s="19">
        <v>-8084</v>
      </c>
      <c r="W9" s="947"/>
      <c r="X9" s="19">
        <v>-21095</v>
      </c>
      <c r="Y9" s="947">
        <v>-1063470</v>
      </c>
      <c r="Z9" s="55">
        <v>-19707</v>
      </c>
      <c r="AA9" s="986">
        <v>-139</v>
      </c>
      <c r="AB9" s="19"/>
      <c r="AC9" s="947"/>
      <c r="AD9" s="19"/>
      <c r="AE9" s="22"/>
      <c r="AF9" s="19">
        <v>-10672</v>
      </c>
      <c r="AG9" s="947">
        <v>-3906</v>
      </c>
      <c r="AH9" s="19"/>
      <c r="AI9" s="947">
        <v>-1</v>
      </c>
      <c r="AJ9" s="19">
        <v>-48564</v>
      </c>
      <c r="AK9" s="947">
        <v>-46402</v>
      </c>
      <c r="AL9" s="979"/>
      <c r="AM9" s="947"/>
      <c r="AN9" s="268">
        <v>-34241</v>
      </c>
      <c r="AO9" s="969">
        <v>-402033</v>
      </c>
      <c r="AP9" s="973">
        <v>-94333</v>
      </c>
      <c r="AQ9" s="372">
        <v>-123049</v>
      </c>
      <c r="AR9" s="206"/>
      <c r="AS9" s="954">
        <v>-1601</v>
      </c>
      <c r="AT9" s="19">
        <v>-4758</v>
      </c>
      <c r="AU9" s="947"/>
      <c r="AV9" s="15">
        <f t="shared" si="0"/>
        <v>-368764</v>
      </c>
      <c r="AW9" s="332">
        <f t="shared" si="1"/>
        <v>-2226314</v>
      </c>
      <c r="AX9" s="206">
        <v>-671</v>
      </c>
      <c r="AY9" s="29">
        <v>-2383</v>
      </c>
      <c r="AZ9" s="15">
        <f t="shared" si="2"/>
        <v>-369435</v>
      </c>
      <c r="BA9" s="938">
        <f t="shared" si="3"/>
        <v>-2228697</v>
      </c>
    </row>
    <row r="10" spans="1:53" ht="42.75">
      <c r="A10" s="809" t="s">
        <v>127</v>
      </c>
      <c r="B10" s="332"/>
      <c r="C10" s="332"/>
      <c r="D10" s="33">
        <v>13627</v>
      </c>
      <c r="E10" s="826">
        <v>2251</v>
      </c>
      <c r="F10" s="33"/>
      <c r="G10" s="36"/>
      <c r="H10" s="33">
        <v>-7732</v>
      </c>
      <c r="I10" s="826">
        <v>-20111</v>
      </c>
      <c r="J10" s="33"/>
      <c r="K10" s="826"/>
      <c r="L10" s="33"/>
      <c r="M10" s="826"/>
      <c r="N10" s="33">
        <v>-4827</v>
      </c>
      <c r="O10" s="826">
        <v>-6196</v>
      </c>
      <c r="P10" s="33">
        <v>63</v>
      </c>
      <c r="Q10" s="826"/>
      <c r="R10" s="33"/>
      <c r="S10" s="826"/>
      <c r="T10" s="33"/>
      <c r="U10" s="826"/>
      <c r="V10" s="33">
        <v>-25600</v>
      </c>
      <c r="W10" s="826"/>
      <c r="X10" s="33">
        <v>9611</v>
      </c>
      <c r="Y10" s="826">
        <v>386</v>
      </c>
      <c r="Z10" s="55">
        <v>13274</v>
      </c>
      <c r="AA10" s="986">
        <v>5453</v>
      </c>
      <c r="AB10" s="33">
        <v>7249</v>
      </c>
      <c r="AC10" s="826">
        <v>-3217</v>
      </c>
      <c r="AD10" s="984"/>
      <c r="AE10" s="38"/>
      <c r="AF10" s="33"/>
      <c r="AG10" s="826"/>
      <c r="AH10" s="33"/>
      <c r="AI10" s="826">
        <v>-5724</v>
      </c>
      <c r="AJ10" s="33">
        <v>2768</v>
      </c>
      <c r="AK10" s="826">
        <v>-6194</v>
      </c>
      <c r="AL10" s="979"/>
      <c r="AM10" s="947"/>
      <c r="AN10" s="268">
        <v>22158</v>
      </c>
      <c r="AO10" s="969"/>
      <c r="AP10" s="973">
        <v>-859</v>
      </c>
      <c r="AQ10" s="372">
        <v>2072</v>
      </c>
      <c r="AR10" s="206"/>
      <c r="AS10" s="954"/>
      <c r="AT10" s="33"/>
      <c r="AU10" s="826">
        <v>41803</v>
      </c>
      <c r="AV10" s="15">
        <f t="shared" si="0"/>
        <v>29732</v>
      </c>
      <c r="AW10" s="332">
        <f t="shared" si="1"/>
        <v>10523</v>
      </c>
      <c r="AX10" s="33"/>
      <c r="AY10" s="32"/>
      <c r="AZ10" s="15">
        <f t="shared" si="2"/>
        <v>29732</v>
      </c>
      <c r="BA10" s="938">
        <f t="shared" si="3"/>
        <v>10523</v>
      </c>
    </row>
    <row r="11" spans="1:53">
      <c r="A11" s="809" t="s">
        <v>128</v>
      </c>
      <c r="B11" s="331"/>
      <c r="C11" s="331"/>
      <c r="D11" s="19"/>
      <c r="E11" s="947"/>
      <c r="F11" s="19"/>
      <c r="G11" s="22"/>
      <c r="H11" s="19"/>
      <c r="I11" s="947"/>
      <c r="J11" s="19"/>
      <c r="K11" s="947"/>
      <c r="L11" s="19">
        <v>51</v>
      </c>
      <c r="M11" s="947">
        <v>442</v>
      </c>
      <c r="N11" s="19"/>
      <c r="O11" s="947"/>
      <c r="P11" s="19"/>
      <c r="Q11" s="947"/>
      <c r="R11" s="19"/>
      <c r="S11" s="947"/>
      <c r="T11" s="19"/>
      <c r="U11" s="947"/>
      <c r="V11" s="19"/>
      <c r="W11" s="947"/>
      <c r="X11" s="19">
        <v>1544</v>
      </c>
      <c r="Y11" s="947">
        <v>3030</v>
      </c>
      <c r="Z11" s="19">
        <v>631</v>
      </c>
      <c r="AA11" s="947">
        <f>22+1570</f>
        <v>1592</v>
      </c>
      <c r="AB11" s="19">
        <v>2092</v>
      </c>
      <c r="AC11" s="947">
        <v>2097</v>
      </c>
      <c r="AD11" s="19"/>
      <c r="AE11" s="22"/>
      <c r="AF11" s="19">
        <v>225</v>
      </c>
      <c r="AG11" s="947">
        <v>122661</v>
      </c>
      <c r="AH11" s="19"/>
      <c r="AI11" s="947"/>
      <c r="AJ11" s="19"/>
      <c r="AK11" s="947"/>
      <c r="AL11" s="979"/>
      <c r="AM11" s="947"/>
      <c r="AN11" s="268">
        <v>16562</v>
      </c>
      <c r="AO11" s="969">
        <v>15588</v>
      </c>
      <c r="AP11" s="973">
        <v>403</v>
      </c>
      <c r="AQ11" s="372">
        <v>5373</v>
      </c>
      <c r="AR11" s="206">
        <v>149</v>
      </c>
      <c r="AS11" s="954">
        <v>670</v>
      </c>
      <c r="AT11" s="19"/>
      <c r="AU11" s="947"/>
      <c r="AV11" s="15">
        <f t="shared" si="0"/>
        <v>21657</v>
      </c>
      <c r="AW11" s="332">
        <f t="shared" si="1"/>
        <v>151453</v>
      </c>
      <c r="AX11" s="206"/>
      <c r="AY11" s="29"/>
      <c r="AZ11" s="15">
        <f t="shared" si="2"/>
        <v>21657</v>
      </c>
      <c r="BA11" s="938">
        <f t="shared" si="3"/>
        <v>151453</v>
      </c>
    </row>
    <row r="12" spans="1:53" s="873" customFormat="1">
      <c r="A12" s="868" t="s">
        <v>312</v>
      </c>
      <c r="B12" s="998">
        <f>SUM(B5:B11)</f>
        <v>1010754</v>
      </c>
      <c r="C12" s="998">
        <f>SUM(C5:C11)</f>
        <v>1083656</v>
      </c>
      <c r="D12" s="874">
        <f t="shared" ref="D12:AI12" si="4">SUM(D5:D11)</f>
        <v>24048</v>
      </c>
      <c r="E12" s="948">
        <f t="shared" si="4"/>
        <v>12298</v>
      </c>
      <c r="F12" s="874">
        <f t="shared" si="4"/>
        <v>126335</v>
      </c>
      <c r="G12" s="876">
        <f t="shared" si="4"/>
        <v>65454</v>
      </c>
      <c r="H12" s="874">
        <f t="shared" si="4"/>
        <v>2416054</v>
      </c>
      <c r="I12" s="948">
        <f t="shared" si="4"/>
        <v>3446426</v>
      </c>
      <c r="J12" s="874">
        <f t="shared" si="4"/>
        <v>-317594</v>
      </c>
      <c r="K12" s="948">
        <f t="shared" si="4"/>
        <v>-305355</v>
      </c>
      <c r="L12" s="874">
        <f t="shared" si="4"/>
        <v>282055</v>
      </c>
      <c r="M12" s="948">
        <f t="shared" si="4"/>
        <v>257650</v>
      </c>
      <c r="N12" s="874">
        <f t="shared" si="4"/>
        <v>632728</v>
      </c>
      <c r="O12" s="948">
        <f t="shared" si="4"/>
        <v>691364</v>
      </c>
      <c r="P12" s="874">
        <f t="shared" si="4"/>
        <v>344767</v>
      </c>
      <c r="Q12" s="948">
        <f t="shared" si="4"/>
        <v>64652</v>
      </c>
      <c r="R12" s="874">
        <f t="shared" si="4"/>
        <v>190152</v>
      </c>
      <c r="S12" s="948">
        <f t="shared" si="4"/>
        <v>180754</v>
      </c>
      <c r="T12" s="874">
        <f t="shared" si="4"/>
        <v>49297</v>
      </c>
      <c r="U12" s="948">
        <f t="shared" si="4"/>
        <v>47892</v>
      </c>
      <c r="V12" s="874">
        <f t="shared" si="4"/>
        <v>4490984</v>
      </c>
      <c r="W12" s="948">
        <f t="shared" si="4"/>
        <v>4433353</v>
      </c>
      <c r="X12" s="874">
        <f t="shared" si="4"/>
        <v>5130370</v>
      </c>
      <c r="Y12" s="948">
        <f t="shared" si="4"/>
        <v>7764103</v>
      </c>
      <c r="Z12" s="874">
        <f t="shared" si="4"/>
        <v>119066</v>
      </c>
      <c r="AA12" s="948">
        <f t="shared" si="4"/>
        <v>106183</v>
      </c>
      <c r="AB12" s="874">
        <f t="shared" si="4"/>
        <v>167324</v>
      </c>
      <c r="AC12" s="948">
        <f t="shared" si="4"/>
        <v>183436</v>
      </c>
      <c r="AD12" s="874">
        <f t="shared" si="4"/>
        <v>475953</v>
      </c>
      <c r="AE12" s="876">
        <f t="shared" si="4"/>
        <v>565165</v>
      </c>
      <c r="AF12" s="874">
        <f t="shared" si="4"/>
        <v>1113956</v>
      </c>
      <c r="AG12" s="948">
        <f t="shared" si="4"/>
        <v>1791723</v>
      </c>
      <c r="AH12" s="874">
        <f t="shared" si="4"/>
        <v>340453</v>
      </c>
      <c r="AI12" s="948">
        <f t="shared" si="4"/>
        <v>538126</v>
      </c>
      <c r="AJ12" s="874">
        <f t="shared" ref="AJ12:AY12" si="5">SUM(AJ5:AJ11)</f>
        <v>418054</v>
      </c>
      <c r="AK12" s="948">
        <f t="shared" si="5"/>
        <v>226984</v>
      </c>
      <c r="AL12" s="874">
        <f t="shared" si="5"/>
        <v>0</v>
      </c>
      <c r="AM12" s="948">
        <f t="shared" si="5"/>
        <v>0</v>
      </c>
      <c r="AN12" s="874">
        <f t="shared" si="5"/>
        <v>3884008</v>
      </c>
      <c r="AO12" s="948">
        <f t="shared" si="5"/>
        <v>3786608</v>
      </c>
      <c r="AP12" s="874">
        <f t="shared" si="5"/>
        <v>-20829</v>
      </c>
      <c r="AQ12" s="948">
        <f t="shared" si="5"/>
        <v>47002</v>
      </c>
      <c r="AR12" s="874">
        <f t="shared" si="5"/>
        <v>365580</v>
      </c>
      <c r="AS12" s="948">
        <f t="shared" si="5"/>
        <v>668278</v>
      </c>
      <c r="AT12" s="874">
        <f t="shared" si="5"/>
        <v>347506</v>
      </c>
      <c r="AU12" s="948">
        <f t="shared" si="5"/>
        <v>410500</v>
      </c>
      <c r="AV12" s="869">
        <f t="shared" si="0"/>
        <v>21591021</v>
      </c>
      <c r="AW12" s="942">
        <f t="shared" si="1"/>
        <v>26066252</v>
      </c>
      <c r="AX12" s="874">
        <f t="shared" si="5"/>
        <v>50057</v>
      </c>
      <c r="AY12" s="875">
        <f t="shared" si="5"/>
        <v>43133</v>
      </c>
      <c r="AZ12" s="869">
        <f t="shared" si="2"/>
        <v>21641078</v>
      </c>
      <c r="BA12" s="872">
        <f t="shared" si="3"/>
        <v>26109385</v>
      </c>
    </row>
    <row r="13" spans="1:53" ht="42.75">
      <c r="A13" s="809" t="s">
        <v>129</v>
      </c>
      <c r="B13" s="331">
        <v>139991</v>
      </c>
      <c r="C13" s="331">
        <v>68728</v>
      </c>
      <c r="D13" s="19">
        <v>289690</v>
      </c>
      <c r="E13" s="947">
        <v>17912</v>
      </c>
      <c r="F13" s="19">
        <v>20159</v>
      </c>
      <c r="G13" s="22">
        <v>25192</v>
      </c>
      <c r="H13" s="19">
        <v>46416</v>
      </c>
      <c r="I13" s="947">
        <v>73619</v>
      </c>
      <c r="J13" s="19">
        <v>27829</v>
      </c>
      <c r="K13" s="947">
        <v>16477</v>
      </c>
      <c r="L13" s="19">
        <v>15115</v>
      </c>
      <c r="M13" s="947">
        <v>1652</v>
      </c>
      <c r="N13" s="19">
        <v>382480</v>
      </c>
      <c r="O13" s="947">
        <v>38941</v>
      </c>
      <c r="P13" s="19">
        <v>740231</v>
      </c>
      <c r="Q13" s="947">
        <v>933</v>
      </c>
      <c r="R13" s="19">
        <v>9502</v>
      </c>
      <c r="S13" s="947">
        <f>1300+6194</f>
        <v>7494</v>
      </c>
      <c r="T13" s="19">
        <v>2852</v>
      </c>
      <c r="U13" s="947">
        <f>3870+5373</f>
        <v>9243</v>
      </c>
      <c r="V13" s="19">
        <v>20248</v>
      </c>
      <c r="W13" s="947">
        <f>-16021+84224</f>
        <v>68203</v>
      </c>
      <c r="X13" s="19">
        <v>104279</v>
      </c>
      <c r="Y13" s="947">
        <f>121076+69190</f>
        <v>190266</v>
      </c>
      <c r="Z13" s="19">
        <v>40784</v>
      </c>
      <c r="AA13" s="947">
        <f>6743+22242</f>
        <v>28985</v>
      </c>
      <c r="AB13" s="19">
        <v>27843</v>
      </c>
      <c r="AC13" s="947">
        <f>27343+543</f>
        <v>27886</v>
      </c>
      <c r="AD13" s="19">
        <v>4595</v>
      </c>
      <c r="AE13" s="22">
        <v>4496</v>
      </c>
      <c r="AF13" s="19">
        <f>5296+44848</f>
        <v>50144</v>
      </c>
      <c r="AG13" s="947">
        <f>46843+42797</f>
        <v>89640</v>
      </c>
      <c r="AH13" s="19">
        <v>17495</v>
      </c>
      <c r="AI13" s="947">
        <f>9662+6758</f>
        <v>16420</v>
      </c>
      <c r="AJ13" s="19">
        <v>250079</v>
      </c>
      <c r="AK13" s="947">
        <f>171189+12058</f>
        <v>183247</v>
      </c>
      <c r="AL13" s="979"/>
      <c r="AM13" s="947"/>
      <c r="AN13" s="267"/>
      <c r="AO13" s="968"/>
      <c r="AP13" s="973">
        <v>5970</v>
      </c>
      <c r="AQ13" s="372">
        <v>2224</v>
      </c>
      <c r="AR13" s="206">
        <v>15510</v>
      </c>
      <c r="AS13" s="954">
        <f>5445+15139</f>
        <v>20584</v>
      </c>
      <c r="AT13" s="19">
        <v>5320</v>
      </c>
      <c r="AU13" s="947">
        <f>3458+14188</f>
        <v>17646</v>
      </c>
      <c r="AV13" s="15">
        <f t="shared" si="0"/>
        <v>2216532</v>
      </c>
      <c r="AW13" s="332">
        <f t="shared" si="1"/>
        <v>909788</v>
      </c>
      <c r="AX13" s="206">
        <v>1126</v>
      </c>
      <c r="AY13" s="29">
        <v>973</v>
      </c>
      <c r="AZ13" s="15">
        <f t="shared" si="2"/>
        <v>2217658</v>
      </c>
      <c r="BA13" s="938">
        <f t="shared" si="3"/>
        <v>910761</v>
      </c>
    </row>
    <row r="14" spans="1:53">
      <c r="A14" s="809" t="s">
        <v>130</v>
      </c>
      <c r="B14" s="331"/>
      <c r="C14" s="331"/>
      <c r="D14" s="19"/>
      <c r="E14" s="947"/>
      <c r="F14" s="19"/>
      <c r="G14" s="274"/>
      <c r="H14" s="19"/>
      <c r="I14" s="947"/>
      <c r="J14" s="19"/>
      <c r="K14" s="947"/>
      <c r="L14" s="19"/>
      <c r="M14" s="947"/>
      <c r="N14" s="19"/>
      <c r="O14" s="947"/>
      <c r="P14" s="19"/>
      <c r="Q14" s="947"/>
      <c r="R14" s="19"/>
      <c r="S14" s="947"/>
      <c r="T14" s="19"/>
      <c r="U14" s="947"/>
      <c r="V14" s="19"/>
      <c r="W14" s="947"/>
      <c r="X14" s="19"/>
      <c r="Y14" s="947"/>
      <c r="Z14" s="19"/>
      <c r="AA14" s="947"/>
      <c r="AB14" s="19"/>
      <c r="AC14" s="947"/>
      <c r="AD14" s="19"/>
      <c r="AE14" s="22"/>
      <c r="AF14" s="19"/>
      <c r="AG14" s="947"/>
      <c r="AH14" s="19"/>
      <c r="AI14" s="947"/>
      <c r="AJ14" s="19"/>
      <c r="AK14" s="947"/>
      <c r="AL14" s="979"/>
      <c r="AM14" s="947"/>
      <c r="AN14" s="269"/>
      <c r="AO14" s="970"/>
      <c r="AP14" s="973"/>
      <c r="AQ14" s="372"/>
      <c r="AR14" s="206"/>
      <c r="AS14" s="954"/>
      <c r="AT14" s="19"/>
      <c r="AU14" s="947"/>
      <c r="AV14" s="15">
        <f t="shared" si="0"/>
        <v>0</v>
      </c>
      <c r="AW14" s="332">
        <f t="shared" si="1"/>
        <v>0</v>
      </c>
      <c r="AX14" s="206"/>
      <c r="AY14" s="29"/>
      <c r="AZ14" s="15">
        <f t="shared" si="2"/>
        <v>0</v>
      </c>
      <c r="BA14" s="938">
        <f t="shared" si="3"/>
        <v>0</v>
      </c>
    </row>
    <row r="15" spans="1:53">
      <c r="A15" s="809" t="s">
        <v>131</v>
      </c>
      <c r="B15" s="332"/>
      <c r="C15" s="332"/>
      <c r="D15" s="33"/>
      <c r="E15" s="826"/>
      <c r="F15" s="33"/>
      <c r="G15" s="36"/>
      <c r="H15" s="33"/>
      <c r="I15" s="826"/>
      <c r="J15" s="33"/>
      <c r="K15" s="826"/>
      <c r="L15" s="33"/>
      <c r="M15" s="826"/>
      <c r="N15" s="33"/>
      <c r="O15" s="826"/>
      <c r="P15" s="33"/>
      <c r="Q15" s="826"/>
      <c r="R15" s="33"/>
      <c r="S15" s="826"/>
      <c r="T15" s="33"/>
      <c r="U15" s="826"/>
      <c r="V15" s="33"/>
      <c r="W15" s="826"/>
      <c r="X15" s="33"/>
      <c r="Y15" s="826"/>
      <c r="Z15" s="55"/>
      <c r="AA15" s="986"/>
      <c r="AB15" s="33"/>
      <c r="AC15" s="826"/>
      <c r="AD15" s="984"/>
      <c r="AE15" s="38"/>
      <c r="AF15" s="33"/>
      <c r="AG15" s="826"/>
      <c r="AH15" s="33"/>
      <c r="AI15" s="826"/>
      <c r="AJ15" s="33"/>
      <c r="AK15" s="826"/>
      <c r="AL15" s="979"/>
      <c r="AM15" s="947"/>
      <c r="AN15" s="268">
        <v>1130</v>
      </c>
      <c r="AO15" s="969">
        <v>5615</v>
      </c>
      <c r="AP15" s="973"/>
      <c r="AQ15" s="372"/>
      <c r="AR15" s="206"/>
      <c r="AS15" s="954"/>
      <c r="AT15" s="33"/>
      <c r="AU15" s="826"/>
      <c r="AV15" s="15">
        <f t="shared" si="0"/>
        <v>1130</v>
      </c>
      <c r="AW15" s="332">
        <f t="shared" si="1"/>
        <v>5615</v>
      </c>
      <c r="AX15" s="33"/>
      <c r="AY15" s="32"/>
      <c r="AZ15" s="15">
        <f t="shared" si="2"/>
        <v>1130</v>
      </c>
      <c r="BA15" s="938">
        <f t="shared" si="3"/>
        <v>5615</v>
      </c>
    </row>
    <row r="16" spans="1:53" ht="28.5">
      <c r="A16" s="809" t="s">
        <v>132</v>
      </c>
      <c r="B16" s="331"/>
      <c r="C16" s="331"/>
      <c r="D16" s="19"/>
      <c r="E16" s="947"/>
      <c r="F16" s="19"/>
      <c r="G16" s="22"/>
      <c r="H16" s="19"/>
      <c r="I16" s="947"/>
      <c r="J16" s="19"/>
      <c r="K16" s="947"/>
      <c r="L16" s="19"/>
      <c r="M16" s="947"/>
      <c r="N16" s="19"/>
      <c r="O16" s="947"/>
      <c r="P16" s="19"/>
      <c r="Q16" s="947"/>
      <c r="R16" s="19"/>
      <c r="S16" s="947"/>
      <c r="T16" s="19"/>
      <c r="U16" s="947"/>
      <c r="V16" s="19"/>
      <c r="W16" s="947"/>
      <c r="X16" s="19"/>
      <c r="Y16" s="947"/>
      <c r="Z16" s="55"/>
      <c r="AA16" s="986"/>
      <c r="AB16" s="19"/>
      <c r="AC16" s="947"/>
      <c r="AD16" s="19"/>
      <c r="AE16" s="22"/>
      <c r="AF16" s="19"/>
      <c r="AG16" s="947"/>
      <c r="AH16" s="19"/>
      <c r="AI16" s="947"/>
      <c r="AJ16" s="19"/>
      <c r="AK16" s="947"/>
      <c r="AL16" s="979"/>
      <c r="AM16" s="947"/>
      <c r="AN16" s="268">
        <v>78</v>
      </c>
      <c r="AO16" s="969">
        <v>39</v>
      </c>
      <c r="AP16" s="973"/>
      <c r="AQ16" s="372"/>
      <c r="AR16" s="206"/>
      <c r="AS16" s="954"/>
      <c r="AT16" s="19"/>
      <c r="AU16" s="947"/>
      <c r="AV16" s="15">
        <f t="shared" si="0"/>
        <v>78</v>
      </c>
      <c r="AW16" s="332">
        <f t="shared" si="1"/>
        <v>39</v>
      </c>
      <c r="AX16" s="19"/>
      <c r="AY16" s="18"/>
      <c r="AZ16" s="15">
        <f t="shared" si="2"/>
        <v>78</v>
      </c>
      <c r="BA16" s="938">
        <f t="shared" si="3"/>
        <v>39</v>
      </c>
    </row>
    <row r="17" spans="1:53">
      <c r="A17" s="809" t="s">
        <v>133</v>
      </c>
      <c r="B17" s="331"/>
      <c r="C17" s="331"/>
      <c r="D17" s="19"/>
      <c r="E17" s="947"/>
      <c r="F17" s="19"/>
      <c r="G17" s="22"/>
      <c r="H17" s="19"/>
      <c r="I17" s="947"/>
      <c r="J17" s="19"/>
      <c r="K17" s="947"/>
      <c r="L17" s="19"/>
      <c r="M17" s="947">
        <v>4359</v>
      </c>
      <c r="N17" s="19"/>
      <c r="O17" s="947"/>
      <c r="P17" s="19"/>
      <c r="Q17" s="947"/>
      <c r="R17" s="19"/>
      <c r="S17" s="947"/>
      <c r="T17" s="19"/>
      <c r="U17" s="947"/>
      <c r="V17" s="19"/>
      <c r="W17" s="947"/>
      <c r="X17" s="19"/>
      <c r="Y17" s="947"/>
      <c r="Z17" s="55"/>
      <c r="AA17" s="986"/>
      <c r="AB17" s="19"/>
      <c r="AC17" s="947"/>
      <c r="AD17" s="19"/>
      <c r="AE17" s="22"/>
      <c r="AF17" s="19"/>
      <c r="AG17" s="947"/>
      <c r="AH17" s="19"/>
      <c r="AI17" s="947"/>
      <c r="AJ17" s="19"/>
      <c r="AK17" s="947"/>
      <c r="AL17" s="979"/>
      <c r="AM17" s="947"/>
      <c r="AN17" s="268">
        <v>1133</v>
      </c>
      <c r="AO17" s="969">
        <v>519</v>
      </c>
      <c r="AP17" s="973"/>
      <c r="AQ17" s="372"/>
      <c r="AR17" s="206"/>
      <c r="AS17" s="954"/>
      <c r="AT17" s="19"/>
      <c r="AU17" s="947"/>
      <c r="AV17" s="15">
        <f t="shared" si="0"/>
        <v>1133</v>
      </c>
      <c r="AW17" s="332">
        <f t="shared" si="1"/>
        <v>4878</v>
      </c>
      <c r="AX17" s="19"/>
      <c r="AY17" s="18"/>
      <c r="AZ17" s="15">
        <f t="shared" si="2"/>
        <v>1133</v>
      </c>
      <c r="BA17" s="938">
        <f t="shared" si="3"/>
        <v>4878</v>
      </c>
    </row>
    <row r="18" spans="1:53">
      <c r="A18" s="809" t="s">
        <v>134</v>
      </c>
      <c r="B18" s="331">
        <v>10393</v>
      </c>
      <c r="C18" s="331">
        <v>4434</v>
      </c>
      <c r="D18" s="19"/>
      <c r="E18" s="947"/>
      <c r="F18" s="19"/>
      <c r="G18" s="22"/>
      <c r="H18" s="19">
        <v>19236</v>
      </c>
      <c r="I18" s="947">
        <v>19831</v>
      </c>
      <c r="J18" s="19"/>
      <c r="K18" s="947">
        <v>15685</v>
      </c>
      <c r="L18" s="19"/>
      <c r="M18" s="947"/>
      <c r="N18" s="19">
        <v>213790</v>
      </c>
      <c r="O18" s="947">
        <f>148822+11955</f>
        <v>160777</v>
      </c>
      <c r="P18" s="19"/>
      <c r="Q18" s="947"/>
      <c r="R18" s="19"/>
      <c r="S18" s="947"/>
      <c r="T18" s="19"/>
      <c r="U18" s="947"/>
      <c r="V18" s="19"/>
      <c r="W18" s="947"/>
      <c r="X18" s="19"/>
      <c r="Y18" s="947"/>
      <c r="Z18" s="55"/>
      <c r="AA18" s="986"/>
      <c r="AB18" s="19"/>
      <c r="AC18" s="947"/>
      <c r="AD18" s="19"/>
      <c r="AE18" s="22"/>
      <c r="AF18" s="19"/>
      <c r="AG18" s="947"/>
      <c r="AH18" s="19"/>
      <c r="AI18" s="947"/>
      <c r="AJ18" s="19"/>
      <c r="AK18" s="947"/>
      <c r="AL18" s="979"/>
      <c r="AM18" s="947"/>
      <c r="AN18" s="268">
        <v>28173</v>
      </c>
      <c r="AO18" s="969">
        <v>25499</v>
      </c>
      <c r="AP18" s="973"/>
      <c r="AQ18" s="372"/>
      <c r="AR18" s="206"/>
      <c r="AS18" s="954"/>
      <c r="AT18" s="19"/>
      <c r="AU18" s="947"/>
      <c r="AV18" s="15">
        <f t="shared" si="0"/>
        <v>271592</v>
      </c>
      <c r="AW18" s="332">
        <f t="shared" si="1"/>
        <v>226226</v>
      </c>
      <c r="AX18" s="19"/>
      <c r="AY18" s="18"/>
      <c r="AZ18" s="15">
        <f t="shared" si="2"/>
        <v>271592</v>
      </c>
      <c r="BA18" s="938">
        <f t="shared" si="3"/>
        <v>226226</v>
      </c>
    </row>
    <row r="19" spans="1:53" ht="28.5">
      <c r="A19" s="809" t="s">
        <v>135</v>
      </c>
      <c r="B19" s="331"/>
      <c r="C19" s="331"/>
      <c r="D19" s="19"/>
      <c r="E19" s="947"/>
      <c r="F19" s="19"/>
      <c r="G19" s="22"/>
      <c r="H19" s="19"/>
      <c r="I19" s="947"/>
      <c r="J19" s="19"/>
      <c r="K19" s="947"/>
      <c r="L19" s="19"/>
      <c r="M19" s="947"/>
      <c r="N19" s="19"/>
      <c r="O19" s="947"/>
      <c r="P19" s="19"/>
      <c r="Q19" s="947"/>
      <c r="R19" s="19"/>
      <c r="S19" s="947"/>
      <c r="T19" s="19"/>
      <c r="U19" s="947"/>
      <c r="V19" s="19"/>
      <c r="W19" s="947"/>
      <c r="X19" s="19"/>
      <c r="Y19" s="947"/>
      <c r="Z19" s="55"/>
      <c r="AA19" s="986"/>
      <c r="AB19" s="19"/>
      <c r="AC19" s="947"/>
      <c r="AD19" s="19"/>
      <c r="AE19" s="22">
        <v>1236</v>
      </c>
      <c r="AF19" s="19"/>
      <c r="AG19" s="947"/>
      <c r="AH19" s="19"/>
      <c r="AI19" s="947"/>
      <c r="AJ19" s="19"/>
      <c r="AK19" s="947"/>
      <c r="AL19" s="979"/>
      <c r="AM19" s="947"/>
      <c r="AN19" s="268">
        <v>55077</v>
      </c>
      <c r="AO19" s="969">
        <v>63616</v>
      </c>
      <c r="AP19" s="973"/>
      <c r="AQ19" s="372">
        <v>300</v>
      </c>
      <c r="AR19" s="206">
        <v>3800</v>
      </c>
      <c r="AS19" s="954">
        <v>4116</v>
      </c>
      <c r="AT19" s="19">
        <v>181</v>
      </c>
      <c r="AU19" s="947">
        <v>3174</v>
      </c>
      <c r="AV19" s="15">
        <f t="shared" si="0"/>
        <v>59058</v>
      </c>
      <c r="AW19" s="332">
        <f t="shared" si="1"/>
        <v>72442</v>
      </c>
      <c r="AX19" s="19"/>
      <c r="AY19" s="18"/>
      <c r="AZ19" s="15">
        <f t="shared" si="2"/>
        <v>59058</v>
      </c>
      <c r="BA19" s="938">
        <f t="shared" si="3"/>
        <v>72442</v>
      </c>
    </row>
    <row r="20" spans="1:53">
      <c r="A20" s="809" t="s">
        <v>136</v>
      </c>
      <c r="B20" s="332"/>
      <c r="C20" s="332"/>
      <c r="D20" s="33"/>
      <c r="E20" s="826"/>
      <c r="F20" s="33"/>
      <c r="G20" s="36"/>
      <c r="H20" s="33"/>
      <c r="I20" s="826"/>
      <c r="J20" s="33"/>
      <c r="K20" s="826"/>
      <c r="L20" s="33"/>
      <c r="M20" s="826"/>
      <c r="N20" s="33"/>
      <c r="O20" s="826"/>
      <c r="P20" s="33"/>
      <c r="Q20" s="826"/>
      <c r="R20" s="33"/>
      <c r="S20" s="826"/>
      <c r="T20" s="33"/>
      <c r="U20" s="826"/>
      <c r="V20" s="33"/>
      <c r="W20" s="826"/>
      <c r="X20" s="33"/>
      <c r="Y20" s="826"/>
      <c r="Z20" s="55"/>
      <c r="AA20" s="986"/>
      <c r="AB20" s="33"/>
      <c r="AC20" s="826"/>
      <c r="AD20" s="984"/>
      <c r="AE20" s="38"/>
      <c r="AF20" s="33"/>
      <c r="AG20" s="826"/>
      <c r="AH20" s="33"/>
      <c r="AI20" s="826"/>
      <c r="AJ20" s="33"/>
      <c r="AK20" s="826"/>
      <c r="AL20" s="979"/>
      <c r="AM20" s="947"/>
      <c r="AN20" s="269"/>
      <c r="AO20" s="970"/>
      <c r="AP20" s="973"/>
      <c r="AQ20" s="372">
        <v>1821</v>
      </c>
      <c r="AR20" s="206"/>
      <c r="AS20" s="954"/>
      <c r="AT20" s="33"/>
      <c r="AU20" s="826">
        <v>1053</v>
      </c>
      <c r="AV20" s="15">
        <f t="shared" si="0"/>
        <v>0</v>
      </c>
      <c r="AW20" s="332">
        <f t="shared" si="1"/>
        <v>2874</v>
      </c>
      <c r="AX20" s="33"/>
      <c r="AY20" s="32"/>
      <c r="AZ20" s="15">
        <f t="shared" si="2"/>
        <v>0</v>
      </c>
      <c r="BA20" s="938">
        <f t="shared" si="3"/>
        <v>2874</v>
      </c>
    </row>
    <row r="21" spans="1:53" ht="28.5">
      <c r="A21" s="809" t="s">
        <v>137</v>
      </c>
      <c r="B21" s="331">
        <v>643403</v>
      </c>
      <c r="C21" s="331">
        <v>818074</v>
      </c>
      <c r="D21" s="19">
        <v>489</v>
      </c>
      <c r="E21" s="947">
        <v>247718</v>
      </c>
      <c r="F21" s="19">
        <v>104935</v>
      </c>
      <c r="G21" s="22">
        <v>366707</v>
      </c>
      <c r="H21" s="19">
        <v>352830</v>
      </c>
      <c r="I21" s="947">
        <v>1743913</v>
      </c>
      <c r="J21" s="19"/>
      <c r="K21" s="947"/>
      <c r="L21" s="19">
        <f>1027+5048</f>
        <v>6075</v>
      </c>
      <c r="M21" s="273">
        <f>89+615673+111848+16769</f>
        <v>744379</v>
      </c>
      <c r="N21" s="288">
        <v>52068</v>
      </c>
      <c r="O21" s="273">
        <v>6761</v>
      </c>
      <c r="P21" s="19">
        <v>145350</v>
      </c>
      <c r="Q21" s="947">
        <v>799408</v>
      </c>
      <c r="R21" s="19">
        <v>785478</v>
      </c>
      <c r="S21" s="947">
        <v>685682</v>
      </c>
      <c r="T21" s="19">
        <v>602937</v>
      </c>
      <c r="U21" s="947">
        <v>119879</v>
      </c>
      <c r="V21" s="19"/>
      <c r="W21" s="947"/>
      <c r="X21" s="19">
        <v>2159230</v>
      </c>
      <c r="Y21" s="947">
        <v>4163355</v>
      </c>
      <c r="Z21" s="55"/>
      <c r="AA21" s="986"/>
      <c r="AB21" s="19">
        <v>278711</v>
      </c>
      <c r="AC21" s="947">
        <v>271215</v>
      </c>
      <c r="AD21" s="19">
        <v>30305</v>
      </c>
      <c r="AE21" s="22">
        <v>8153</v>
      </c>
      <c r="AF21" s="19">
        <v>261282</v>
      </c>
      <c r="AG21" s="947">
        <v>314034</v>
      </c>
      <c r="AH21" s="19">
        <v>34934</v>
      </c>
      <c r="AI21" s="947">
        <v>105899</v>
      </c>
      <c r="AJ21" s="19">
        <v>87716</v>
      </c>
      <c r="AK21" s="947">
        <v>294101</v>
      </c>
      <c r="AL21" s="979"/>
      <c r="AM21" s="947"/>
      <c r="AN21" s="269"/>
      <c r="AO21" s="970"/>
      <c r="AP21" s="973">
        <v>323</v>
      </c>
      <c r="AQ21" s="372">
        <v>2140</v>
      </c>
      <c r="AR21" s="206">
        <f>202741+6031+1156+82319</f>
        <v>292247</v>
      </c>
      <c r="AS21" s="954">
        <f>436934+60683</f>
        <v>497617</v>
      </c>
      <c r="AT21" s="19">
        <v>834881</v>
      </c>
      <c r="AU21" s="947">
        <v>951238</v>
      </c>
      <c r="AV21" s="15">
        <f t="shared" si="0"/>
        <v>6673194</v>
      </c>
      <c r="AW21" s="332">
        <f t="shared" si="1"/>
        <v>12140273</v>
      </c>
      <c r="AX21" s="206"/>
      <c r="AY21" s="29"/>
      <c r="AZ21" s="15">
        <f t="shared" si="2"/>
        <v>6673194</v>
      </c>
      <c r="BA21" s="938">
        <f t="shared" si="3"/>
        <v>12140273</v>
      </c>
    </row>
    <row r="22" spans="1:53" ht="28.5">
      <c r="A22" s="809" t="s">
        <v>138</v>
      </c>
      <c r="B22" s="331"/>
      <c r="C22" s="331"/>
      <c r="D22" s="19"/>
      <c r="E22" s="947"/>
      <c r="F22" s="19"/>
      <c r="G22" s="22"/>
      <c r="H22" s="19"/>
      <c r="I22" s="947"/>
      <c r="J22" s="19"/>
      <c r="K22" s="947"/>
      <c r="L22" s="19"/>
      <c r="M22" s="947">
        <v>-48</v>
      </c>
      <c r="N22" s="19"/>
      <c r="O22" s="947"/>
      <c r="P22" s="19"/>
      <c r="Q22" s="947"/>
      <c r="R22" s="19"/>
      <c r="S22" s="947"/>
      <c r="T22" s="19"/>
      <c r="U22" s="947"/>
      <c r="V22" s="19"/>
      <c r="W22" s="947"/>
      <c r="X22" s="19"/>
      <c r="Y22" s="947"/>
      <c r="Z22" s="55"/>
      <c r="AA22" s="986"/>
      <c r="AB22" s="19"/>
      <c r="AC22" s="947"/>
      <c r="AD22" s="19"/>
      <c r="AE22" s="22"/>
      <c r="AF22" s="19"/>
      <c r="AG22" s="947"/>
      <c r="AH22" s="19"/>
      <c r="AI22" s="947"/>
      <c r="AJ22" s="19"/>
      <c r="AK22" s="947"/>
      <c r="AL22" s="979"/>
      <c r="AM22" s="947"/>
      <c r="AN22" s="267"/>
      <c r="AO22" s="968"/>
      <c r="AP22" s="973"/>
      <c r="AQ22" s="372">
        <v>-1821</v>
      </c>
      <c r="AR22" s="206"/>
      <c r="AS22" s="954"/>
      <c r="AT22" s="19"/>
      <c r="AU22" s="947"/>
      <c r="AV22" s="15">
        <f t="shared" si="0"/>
        <v>0</v>
      </c>
      <c r="AW22" s="332">
        <f t="shared" si="1"/>
        <v>-1869</v>
      </c>
      <c r="AX22" s="206"/>
      <c r="AY22" s="29"/>
      <c r="AZ22" s="15">
        <f t="shared" si="2"/>
        <v>0</v>
      </c>
      <c r="BA22" s="938">
        <f t="shared" si="3"/>
        <v>-1869</v>
      </c>
    </row>
    <row r="23" spans="1:53" ht="28.5">
      <c r="A23" s="809" t="s">
        <v>139</v>
      </c>
      <c r="B23" s="331"/>
      <c r="C23" s="331"/>
      <c r="D23" s="19"/>
      <c r="E23" s="947"/>
      <c r="F23" s="19">
        <v>15175</v>
      </c>
      <c r="G23" s="22">
        <v>-229</v>
      </c>
      <c r="H23" s="19">
        <v>1195369</v>
      </c>
      <c r="I23" s="947">
        <v>-14764</v>
      </c>
      <c r="J23" s="19"/>
      <c r="K23" s="947"/>
      <c r="L23" s="19"/>
      <c r="M23" s="947"/>
      <c r="N23" s="19">
        <v>257252</v>
      </c>
      <c r="O23" s="947"/>
      <c r="P23" s="19">
        <v>190079</v>
      </c>
      <c r="Q23" s="947"/>
      <c r="R23" s="19"/>
      <c r="S23" s="947"/>
      <c r="T23" s="19"/>
      <c r="U23" s="947">
        <v>12500</v>
      </c>
      <c r="V23" s="19">
        <v>101919</v>
      </c>
      <c r="W23" s="947">
        <v>-146887</v>
      </c>
      <c r="X23" s="19"/>
      <c r="Y23" s="947">
        <v>285843</v>
      </c>
      <c r="Z23" s="55">
        <v>-6588</v>
      </c>
      <c r="AA23" s="986">
        <v>3727</v>
      </c>
      <c r="AB23" s="19">
        <v>466363</v>
      </c>
      <c r="AC23" s="947"/>
      <c r="AD23" s="19">
        <v>-408</v>
      </c>
      <c r="AE23" s="22">
        <v>1104</v>
      </c>
      <c r="AF23" s="19">
        <v>37500</v>
      </c>
      <c r="AG23" s="947">
        <v>8001</v>
      </c>
      <c r="AH23" s="19"/>
      <c r="AI23" s="947"/>
      <c r="AJ23" s="19"/>
      <c r="AK23" s="947"/>
      <c r="AL23" s="979"/>
      <c r="AM23" s="947"/>
      <c r="AN23" s="268">
        <v>20010</v>
      </c>
      <c r="AO23" s="969">
        <v>-185398</v>
      </c>
      <c r="AP23" s="973">
        <v>8937</v>
      </c>
      <c r="AQ23" s="372"/>
      <c r="AR23" s="206">
        <v>182800</v>
      </c>
      <c r="AS23" s="954">
        <v>69600</v>
      </c>
      <c r="AT23" s="19"/>
      <c r="AU23" s="947"/>
      <c r="AV23" s="15">
        <f t="shared" si="0"/>
        <v>2468408</v>
      </c>
      <c r="AW23" s="332">
        <f t="shared" si="1"/>
        <v>33497</v>
      </c>
      <c r="AX23" s="206"/>
      <c r="AY23" s="29"/>
      <c r="AZ23" s="15">
        <f t="shared" si="2"/>
        <v>2468408</v>
      </c>
      <c r="BA23" s="938">
        <f t="shared" si="3"/>
        <v>33497</v>
      </c>
    </row>
    <row r="24" spans="1:53">
      <c r="A24" s="809" t="s">
        <v>140</v>
      </c>
      <c r="B24" s="331"/>
      <c r="C24" s="331"/>
      <c r="D24" s="19">
        <v>-200</v>
      </c>
      <c r="E24" s="947"/>
      <c r="F24" s="19"/>
      <c r="G24" s="22"/>
      <c r="H24" s="19"/>
      <c r="I24" s="947"/>
      <c r="J24" s="19"/>
      <c r="K24" s="947"/>
      <c r="L24" s="19"/>
      <c r="M24" s="947"/>
      <c r="N24" s="19"/>
      <c r="O24" s="947"/>
      <c r="P24" s="19"/>
      <c r="Q24" s="947"/>
      <c r="R24" s="19"/>
      <c r="S24" s="947"/>
      <c r="T24" s="19"/>
      <c r="U24" s="947"/>
      <c r="V24" s="19"/>
      <c r="W24" s="947"/>
      <c r="X24" s="19"/>
      <c r="Y24" s="947"/>
      <c r="Z24" s="55"/>
      <c r="AA24" s="986"/>
      <c r="AB24" s="19">
        <v>1804</v>
      </c>
      <c r="AC24" s="947">
        <v>1290</v>
      </c>
      <c r="AD24" s="19"/>
      <c r="AE24" s="22"/>
      <c r="AF24" s="19"/>
      <c r="AG24" s="947"/>
      <c r="AH24" s="19"/>
      <c r="AI24" s="947"/>
      <c r="AJ24" s="19"/>
      <c r="AK24" s="947"/>
      <c r="AL24" s="979"/>
      <c r="AM24" s="947"/>
      <c r="AN24" s="269"/>
      <c r="AO24" s="970"/>
      <c r="AP24" s="973"/>
      <c r="AQ24" s="372"/>
      <c r="AR24" s="206">
        <v>157</v>
      </c>
      <c r="AS24" s="954"/>
      <c r="AT24" s="19">
        <v>1193</v>
      </c>
      <c r="AU24" s="947">
        <v>4602</v>
      </c>
      <c r="AV24" s="15">
        <f t="shared" si="0"/>
        <v>2954</v>
      </c>
      <c r="AW24" s="332">
        <f t="shared" si="1"/>
        <v>5892</v>
      </c>
      <c r="AX24" s="206"/>
      <c r="AY24" s="29"/>
      <c r="AZ24" s="15">
        <f t="shared" si="2"/>
        <v>2954</v>
      </c>
      <c r="BA24" s="938">
        <f t="shared" si="3"/>
        <v>5892</v>
      </c>
    </row>
    <row r="25" spans="1:53">
      <c r="A25" s="809" t="s">
        <v>197</v>
      </c>
      <c r="B25" s="331"/>
      <c r="C25" s="331"/>
      <c r="D25" s="19"/>
      <c r="E25" s="947"/>
      <c r="F25" s="19"/>
      <c r="G25" s="22"/>
      <c r="H25" s="19"/>
      <c r="I25" s="947"/>
      <c r="J25" s="19"/>
      <c r="K25" s="947"/>
      <c r="L25" s="19"/>
      <c r="M25" s="947"/>
      <c r="N25" s="19"/>
      <c r="O25" s="947"/>
      <c r="P25" s="19"/>
      <c r="Q25" s="947"/>
      <c r="R25" s="19"/>
      <c r="S25" s="947"/>
      <c r="T25" s="19"/>
      <c r="U25" s="947"/>
      <c r="V25" s="19"/>
      <c r="W25" s="947"/>
      <c r="X25" s="19"/>
      <c r="Y25" s="947"/>
      <c r="Z25" s="55"/>
      <c r="AA25" s="986"/>
      <c r="AB25" s="19"/>
      <c r="AC25" s="947"/>
      <c r="AD25" s="19"/>
      <c r="AE25" s="22"/>
      <c r="AF25" s="19">
        <f>367+524+8491</f>
        <v>9382</v>
      </c>
      <c r="AG25" s="947"/>
      <c r="AH25" s="19"/>
      <c r="AI25" s="947"/>
      <c r="AJ25" s="19"/>
      <c r="AK25" s="947"/>
      <c r="AL25" s="979"/>
      <c r="AM25" s="947"/>
      <c r="AN25" s="269"/>
      <c r="AO25" s="970"/>
      <c r="AP25" s="316"/>
      <c r="AQ25" s="372"/>
      <c r="AR25" s="206"/>
      <c r="AS25" s="954"/>
      <c r="AT25" s="19"/>
      <c r="AU25" s="947"/>
      <c r="AV25" s="15"/>
      <c r="AW25" s="332"/>
      <c r="AX25" s="206"/>
      <c r="AY25" s="29"/>
      <c r="AZ25" s="15"/>
      <c r="BA25" s="938"/>
    </row>
    <row r="26" spans="1:53" s="873" customFormat="1">
      <c r="A26" s="868" t="s">
        <v>311</v>
      </c>
      <c r="B26" s="942">
        <f t="shared" ref="B26:AE26" si="6">SUM(B13:B24)</f>
        <v>793787</v>
      </c>
      <c r="C26" s="942">
        <f t="shared" si="6"/>
        <v>891236</v>
      </c>
      <c r="D26" s="869">
        <f t="shared" si="6"/>
        <v>289979</v>
      </c>
      <c r="E26" s="949">
        <f t="shared" si="6"/>
        <v>265630</v>
      </c>
      <c r="F26" s="869">
        <f t="shared" si="6"/>
        <v>140269</v>
      </c>
      <c r="G26" s="871">
        <f t="shared" si="6"/>
        <v>391670</v>
      </c>
      <c r="H26" s="869">
        <f t="shared" si="6"/>
        <v>1613851</v>
      </c>
      <c r="I26" s="949">
        <f t="shared" si="6"/>
        <v>1822599</v>
      </c>
      <c r="J26" s="869">
        <f t="shared" si="6"/>
        <v>27829</v>
      </c>
      <c r="K26" s="949">
        <f t="shared" si="6"/>
        <v>32162</v>
      </c>
      <c r="L26" s="869">
        <f t="shared" si="6"/>
        <v>21190</v>
      </c>
      <c r="M26" s="949">
        <f t="shared" si="6"/>
        <v>750342</v>
      </c>
      <c r="N26" s="869">
        <f t="shared" si="6"/>
        <v>905590</v>
      </c>
      <c r="O26" s="949">
        <f t="shared" si="6"/>
        <v>206479</v>
      </c>
      <c r="P26" s="869">
        <f t="shared" si="6"/>
        <v>1075660</v>
      </c>
      <c r="Q26" s="949">
        <f t="shared" si="6"/>
        <v>800341</v>
      </c>
      <c r="R26" s="869">
        <f t="shared" si="6"/>
        <v>794980</v>
      </c>
      <c r="S26" s="949">
        <f t="shared" si="6"/>
        <v>693176</v>
      </c>
      <c r="T26" s="869">
        <f t="shared" si="6"/>
        <v>605789</v>
      </c>
      <c r="U26" s="949">
        <f t="shared" si="6"/>
        <v>141622</v>
      </c>
      <c r="V26" s="869">
        <f t="shared" si="6"/>
        <v>122167</v>
      </c>
      <c r="W26" s="949">
        <f t="shared" si="6"/>
        <v>-78684</v>
      </c>
      <c r="X26" s="869">
        <f t="shared" si="6"/>
        <v>2263509</v>
      </c>
      <c r="Y26" s="949">
        <f t="shared" si="6"/>
        <v>4639464</v>
      </c>
      <c r="Z26" s="869">
        <f t="shared" si="6"/>
        <v>34196</v>
      </c>
      <c r="AA26" s="949">
        <f t="shared" si="6"/>
        <v>32712</v>
      </c>
      <c r="AB26" s="869">
        <f t="shared" si="6"/>
        <v>774721</v>
      </c>
      <c r="AC26" s="949">
        <f t="shared" si="6"/>
        <v>300391</v>
      </c>
      <c r="AD26" s="869">
        <f t="shared" si="6"/>
        <v>34492</v>
      </c>
      <c r="AE26" s="871">
        <f t="shared" si="6"/>
        <v>14989</v>
      </c>
      <c r="AF26" s="869">
        <f>SUM(AF13:AF25)</f>
        <v>358308</v>
      </c>
      <c r="AG26" s="983">
        <f>SUM(AG13:AG25)</f>
        <v>411675</v>
      </c>
      <c r="AH26" s="869">
        <f t="shared" ref="AH26:AU26" si="7">SUM(AH13:AH24)</f>
        <v>52429</v>
      </c>
      <c r="AI26" s="949">
        <f t="shared" si="7"/>
        <v>122319</v>
      </c>
      <c r="AJ26" s="869">
        <f t="shared" si="7"/>
        <v>337795</v>
      </c>
      <c r="AK26" s="949">
        <f t="shared" si="7"/>
        <v>477348</v>
      </c>
      <c r="AL26" s="869">
        <f t="shared" si="7"/>
        <v>0</v>
      </c>
      <c r="AM26" s="949">
        <f t="shared" si="7"/>
        <v>0</v>
      </c>
      <c r="AN26" s="869">
        <f t="shared" si="7"/>
        <v>105601</v>
      </c>
      <c r="AO26" s="949">
        <f t="shared" si="7"/>
        <v>-90110</v>
      </c>
      <c r="AP26" s="872">
        <f t="shared" si="7"/>
        <v>15230</v>
      </c>
      <c r="AQ26" s="949">
        <f t="shared" si="7"/>
        <v>4664</v>
      </c>
      <c r="AR26" s="869">
        <f t="shared" si="7"/>
        <v>494514</v>
      </c>
      <c r="AS26" s="949">
        <f t="shared" si="7"/>
        <v>591917</v>
      </c>
      <c r="AT26" s="869">
        <f t="shared" si="7"/>
        <v>841575</v>
      </c>
      <c r="AU26" s="949">
        <f t="shared" si="7"/>
        <v>977713</v>
      </c>
      <c r="AV26" s="869">
        <f t="shared" ref="AV26:AW28" si="8">SUM(B26+D26+F26+H26+J26+L26+N26+P26+R26+T26+V26+X26+Z26+AB26+AD26+AF26+AH26+AJ26+AL26+AN26+AP26+AR26+AT26)</f>
        <v>11703461</v>
      </c>
      <c r="AW26" s="942">
        <f t="shared" si="8"/>
        <v>13399655</v>
      </c>
      <c r="AX26" s="869">
        <f>SUM(AX13:AX24)</f>
        <v>1126</v>
      </c>
      <c r="AY26" s="870">
        <f>SUM(AY13:AY24)</f>
        <v>973</v>
      </c>
      <c r="AZ26" s="869">
        <f t="shared" ref="AZ26:BA28" si="9">AV26+AX26</f>
        <v>11704587</v>
      </c>
      <c r="BA26" s="872">
        <f t="shared" si="9"/>
        <v>13400628</v>
      </c>
    </row>
    <row r="27" spans="1:53">
      <c r="A27" s="809" t="s">
        <v>141</v>
      </c>
      <c r="B27" s="331">
        <v>216967</v>
      </c>
      <c r="C27" s="331">
        <v>192420</v>
      </c>
      <c r="D27" s="19">
        <v>-265932</v>
      </c>
      <c r="E27" s="947">
        <v>-253332</v>
      </c>
      <c r="F27" s="19">
        <v>-13934</v>
      </c>
      <c r="G27" s="22">
        <v>-326216</v>
      </c>
      <c r="H27" s="19">
        <f>H12-H26</f>
        <v>802203</v>
      </c>
      <c r="I27" s="796">
        <f>I12-I26</f>
        <v>1623827</v>
      </c>
      <c r="J27" s="19">
        <v>-345423</v>
      </c>
      <c r="K27" s="947">
        <v>-337517</v>
      </c>
      <c r="L27" s="19">
        <v>260865</v>
      </c>
      <c r="M27" s="947">
        <v>-492692</v>
      </c>
      <c r="N27" s="19">
        <v>-272862</v>
      </c>
      <c r="O27" s="947">
        <v>484885</v>
      </c>
      <c r="P27" s="19">
        <v>-730893</v>
      </c>
      <c r="Q27" s="947">
        <v>-735689</v>
      </c>
      <c r="R27" s="19">
        <v>-604829</v>
      </c>
      <c r="S27" s="947">
        <v>-512423</v>
      </c>
      <c r="T27" s="19">
        <v>-556492</v>
      </c>
      <c r="U27" s="947">
        <v>-93730</v>
      </c>
      <c r="V27" s="19">
        <v>4368817</v>
      </c>
      <c r="W27" s="947">
        <v>4512037</v>
      </c>
      <c r="X27" s="19">
        <v>2866861</v>
      </c>
      <c r="Y27" s="947">
        <v>3104639</v>
      </c>
      <c r="Z27" s="55">
        <v>84870</v>
      </c>
      <c r="AA27" s="986">
        <v>73471</v>
      </c>
      <c r="AB27" s="19">
        <v>-607397</v>
      </c>
      <c r="AC27" s="947">
        <v>-116957</v>
      </c>
      <c r="AD27" s="19">
        <v>441461</v>
      </c>
      <c r="AE27" s="22">
        <v>550176</v>
      </c>
      <c r="AF27" s="19">
        <v>765030</v>
      </c>
      <c r="AG27" s="947">
        <v>1380048</v>
      </c>
      <c r="AH27" s="19">
        <v>288024</v>
      </c>
      <c r="AI27" s="947">
        <v>415807</v>
      </c>
      <c r="AJ27" s="19">
        <v>80259</v>
      </c>
      <c r="AK27" s="947">
        <v>-250364</v>
      </c>
      <c r="AL27" s="979"/>
      <c r="AM27" s="947"/>
      <c r="AN27" s="268">
        <v>3778406</v>
      </c>
      <c r="AO27" s="969">
        <v>3876717</v>
      </c>
      <c r="AP27" s="973">
        <v>-36059</v>
      </c>
      <c r="AQ27" s="372">
        <v>42337</v>
      </c>
      <c r="AR27" s="206">
        <v>-128934</v>
      </c>
      <c r="AS27" s="954">
        <v>76361</v>
      </c>
      <c r="AT27" s="19">
        <v>-494069</v>
      </c>
      <c r="AU27" s="947">
        <v>-567213</v>
      </c>
      <c r="AV27" s="15">
        <f t="shared" si="8"/>
        <v>9896939</v>
      </c>
      <c r="AW27" s="332">
        <f t="shared" si="8"/>
        <v>12646592</v>
      </c>
      <c r="AX27" s="206">
        <v>48931</v>
      </c>
      <c r="AY27" s="29">
        <v>42160</v>
      </c>
      <c r="AZ27" s="15">
        <f t="shared" si="9"/>
        <v>9945870</v>
      </c>
      <c r="BA27" s="938">
        <f t="shared" si="9"/>
        <v>12688752</v>
      </c>
    </row>
    <row r="28" spans="1:53">
      <c r="A28" s="809" t="s">
        <v>142</v>
      </c>
      <c r="B28" s="331"/>
      <c r="C28" s="331">
        <v>36490</v>
      </c>
      <c r="D28" s="19"/>
      <c r="E28" s="947"/>
      <c r="F28" s="19"/>
      <c r="G28" s="22"/>
      <c r="H28" s="19"/>
      <c r="I28" s="947"/>
      <c r="J28" s="19"/>
      <c r="K28" s="947"/>
      <c r="L28" s="19"/>
      <c r="M28" s="947"/>
      <c r="N28" s="19"/>
      <c r="O28" s="947"/>
      <c r="P28" s="19"/>
      <c r="Q28" s="947"/>
      <c r="R28" s="19"/>
      <c r="S28" s="947"/>
      <c r="T28" s="19"/>
      <c r="U28" s="947"/>
      <c r="V28" s="19">
        <v>122643</v>
      </c>
      <c r="W28" s="947">
        <v>1148</v>
      </c>
      <c r="X28" s="19"/>
      <c r="Y28" s="947"/>
      <c r="Z28" s="55">
        <v>11393</v>
      </c>
      <c r="AA28" s="986">
        <v>10697</v>
      </c>
      <c r="AB28" s="19"/>
      <c r="AC28" s="947"/>
      <c r="AD28" s="19"/>
      <c r="AE28" s="22"/>
      <c r="AF28" s="19">
        <v>83253</v>
      </c>
      <c r="AG28" s="947">
        <v>-331044</v>
      </c>
      <c r="AH28" s="19">
        <v>19207</v>
      </c>
      <c r="AI28" s="947">
        <v>32262</v>
      </c>
      <c r="AJ28" s="19"/>
      <c r="AK28" s="947"/>
      <c r="AL28" s="979"/>
      <c r="AM28" s="947"/>
      <c r="AN28" s="267"/>
      <c r="AO28" s="968"/>
      <c r="AP28" s="973"/>
      <c r="AQ28" s="372">
        <v>6476</v>
      </c>
      <c r="AR28" s="206"/>
      <c r="AS28" s="954"/>
      <c r="AT28" s="19">
        <v>-49622</v>
      </c>
      <c r="AU28" s="947">
        <v>-55914</v>
      </c>
      <c r="AV28" s="15">
        <f t="shared" si="8"/>
        <v>186874</v>
      </c>
      <c r="AW28" s="332">
        <f t="shared" si="8"/>
        <v>-299885</v>
      </c>
      <c r="AX28" s="206">
        <v>17098</v>
      </c>
      <c r="AY28" s="29">
        <v>14732</v>
      </c>
      <c r="AZ28" s="15">
        <f t="shared" si="9"/>
        <v>203972</v>
      </c>
      <c r="BA28" s="938">
        <f t="shared" si="9"/>
        <v>-285153</v>
      </c>
    </row>
    <row r="29" spans="1:53">
      <c r="A29" s="809" t="s">
        <v>299</v>
      </c>
      <c r="B29" s="331"/>
      <c r="C29" s="331"/>
      <c r="D29" s="19"/>
      <c r="E29" s="947"/>
      <c r="F29" s="19"/>
      <c r="G29" s="22"/>
      <c r="H29" s="19">
        <v>185062</v>
      </c>
      <c r="I29" s="947">
        <v>323581</v>
      </c>
      <c r="J29" s="19"/>
      <c r="K29" s="947"/>
      <c r="L29" s="19"/>
      <c r="M29" s="947"/>
      <c r="N29" s="19"/>
      <c r="O29" s="947"/>
      <c r="P29" s="19"/>
      <c r="Q29" s="947"/>
      <c r="R29" s="19"/>
      <c r="S29" s="947"/>
      <c r="T29" s="19"/>
      <c r="U29" s="947"/>
      <c r="V29" s="19"/>
      <c r="W29" s="947"/>
      <c r="X29" s="19">
        <v>-20447</v>
      </c>
      <c r="Y29" s="947">
        <v>-236061</v>
      </c>
      <c r="Z29" s="55"/>
      <c r="AA29" s="986"/>
      <c r="AB29" s="19"/>
      <c r="AC29" s="947"/>
      <c r="AD29" s="19">
        <v>67407</v>
      </c>
      <c r="AE29" s="22">
        <v>83388</v>
      </c>
      <c r="AF29" s="19"/>
      <c r="AG29" s="947"/>
      <c r="AH29" s="19"/>
      <c r="AI29" s="947"/>
      <c r="AJ29" s="19"/>
      <c r="AK29" s="947"/>
      <c r="AL29" s="979"/>
      <c r="AM29" s="947"/>
      <c r="AN29" s="267"/>
      <c r="AO29" s="968"/>
      <c r="AP29" s="973">
        <v>-5203</v>
      </c>
      <c r="AQ29" s="372"/>
      <c r="AR29" s="206"/>
      <c r="AS29" s="954"/>
      <c r="AT29" s="19"/>
      <c r="AU29" s="947"/>
      <c r="AV29" s="15"/>
      <c r="AW29" s="332"/>
      <c r="AX29" s="206"/>
      <c r="AY29" s="29"/>
      <c r="AZ29" s="15"/>
      <c r="BA29" s="938"/>
    </row>
    <row r="30" spans="1:53">
      <c r="A30" s="809" t="s">
        <v>143</v>
      </c>
      <c r="B30" s="331"/>
      <c r="C30" s="331"/>
      <c r="D30" s="19"/>
      <c r="E30" s="947"/>
      <c r="F30" s="19"/>
      <c r="G30" s="22"/>
      <c r="H30" s="19"/>
      <c r="I30" s="947"/>
      <c r="J30" s="19"/>
      <c r="K30" s="947"/>
      <c r="L30" s="19"/>
      <c r="M30" s="947"/>
      <c r="N30" s="19">
        <v>35471</v>
      </c>
      <c r="O30" s="947">
        <v>-63035</v>
      </c>
      <c r="P30" s="19"/>
      <c r="Q30" s="947"/>
      <c r="R30" s="19"/>
      <c r="S30" s="947"/>
      <c r="T30" s="19"/>
      <c r="U30" s="947"/>
      <c r="V30" s="19"/>
      <c r="W30" s="947"/>
      <c r="X30" s="19"/>
      <c r="Y30" s="947"/>
      <c r="Z30" s="55"/>
      <c r="AA30" s="986"/>
      <c r="AB30" s="19"/>
      <c r="AC30" s="947"/>
      <c r="AD30" s="19"/>
      <c r="AE30" s="22"/>
      <c r="AF30" s="19"/>
      <c r="AG30" s="947"/>
      <c r="AH30" s="19"/>
      <c r="AI30" s="947"/>
      <c r="AJ30" s="19"/>
      <c r="AK30" s="947"/>
      <c r="AL30" s="979"/>
      <c r="AM30" s="947"/>
      <c r="AN30" s="267"/>
      <c r="AO30" s="968"/>
      <c r="AP30" s="973"/>
      <c r="AQ30" s="372"/>
      <c r="AR30" s="206"/>
      <c r="AS30" s="954"/>
      <c r="AT30" s="19"/>
      <c r="AU30" s="947"/>
      <c r="AV30" s="15">
        <f t="shared" ref="AV30:AV38" si="10">SUM(B30+D30+F30+H30+J30+L30+N30+P30+R30+T30+V30+X30+Z30+AB30+AD30+AF30+AH30+AJ30+AL30+AN30+AP30+AR30+AT30)</f>
        <v>35471</v>
      </c>
      <c r="AW30" s="332">
        <f t="shared" ref="AW30:AW38" si="11">SUM(C30+E30+G30+I30+K30+M30+O30+Q30+S30+U30+W30+Y30+AA30+AC30+AE30+AG30+AI30+AK30+AM30+AO30+AQ30+AS30+AU30)</f>
        <v>-63035</v>
      </c>
      <c r="AX30" s="206"/>
      <c r="AY30" s="29"/>
      <c r="AZ30" s="15">
        <f t="shared" ref="AZ30:AZ38" si="12">AV30+AX30</f>
        <v>35471</v>
      </c>
      <c r="BA30" s="938">
        <f t="shared" ref="BA30:BA38" si="13">AW30+AY30</f>
        <v>-63035</v>
      </c>
    </row>
    <row r="31" spans="1:53">
      <c r="A31" s="809" t="s">
        <v>144</v>
      </c>
      <c r="B31" s="317"/>
      <c r="C31" s="331"/>
      <c r="D31" s="19"/>
      <c r="E31" s="947"/>
      <c r="F31" s="19"/>
      <c r="G31" s="22"/>
      <c r="H31" s="19"/>
      <c r="I31" s="947"/>
      <c r="J31" s="19"/>
      <c r="K31" s="947"/>
      <c r="L31" s="19"/>
      <c r="M31" s="947"/>
      <c r="N31" s="19"/>
      <c r="O31" s="947"/>
      <c r="P31" s="19"/>
      <c r="Q31" s="947"/>
      <c r="R31" s="19"/>
      <c r="S31" s="947"/>
      <c r="T31" s="19"/>
      <c r="U31" s="947"/>
      <c r="V31" s="19"/>
      <c r="W31" s="947"/>
      <c r="X31" s="19"/>
      <c r="Y31" s="947"/>
      <c r="Z31" s="55">
        <v>-11393</v>
      </c>
      <c r="AA31" s="986"/>
      <c r="AB31" s="19"/>
      <c r="AC31" s="947"/>
      <c r="AD31" s="19"/>
      <c r="AE31" s="22"/>
      <c r="AF31" s="19"/>
      <c r="AG31" s="947"/>
      <c r="AH31" s="19"/>
      <c r="AI31" s="947"/>
      <c r="AJ31" s="19"/>
      <c r="AK31" s="947"/>
      <c r="AL31" s="979"/>
      <c r="AM31" s="947"/>
      <c r="AN31" s="268">
        <v>59396</v>
      </c>
      <c r="AO31" s="969">
        <v>-32137</v>
      </c>
      <c r="AP31" s="973"/>
      <c r="AQ31" s="372"/>
      <c r="AR31" s="206"/>
      <c r="AS31" s="954"/>
      <c r="AT31" s="19"/>
      <c r="AU31" s="947"/>
      <c r="AV31" s="15">
        <f t="shared" si="10"/>
        <v>48003</v>
      </c>
      <c r="AW31" s="332">
        <f t="shared" si="11"/>
        <v>-32137</v>
      </c>
      <c r="AX31" s="206"/>
      <c r="AY31" s="29"/>
      <c r="AZ31" s="15">
        <f t="shared" si="12"/>
        <v>48003</v>
      </c>
      <c r="BA31" s="938">
        <f t="shared" si="13"/>
        <v>-32137</v>
      </c>
    </row>
    <row r="32" spans="1:53">
      <c r="A32" s="809" t="s">
        <v>145</v>
      </c>
      <c r="B32" s="331">
        <v>216967</v>
      </c>
      <c r="C32" s="331">
        <v>155930</v>
      </c>
      <c r="D32" s="19">
        <v>-265932</v>
      </c>
      <c r="E32" s="947">
        <v>-253332</v>
      </c>
      <c r="F32" s="19">
        <v>-13934</v>
      </c>
      <c r="G32" s="22">
        <v>-326216</v>
      </c>
      <c r="H32" s="19">
        <v>617142</v>
      </c>
      <c r="I32" s="947">
        <v>1300246</v>
      </c>
      <c r="J32" s="19">
        <f>J27</f>
        <v>-345423</v>
      </c>
      <c r="K32" s="796">
        <v>-337517</v>
      </c>
      <c r="L32" s="19">
        <v>260865</v>
      </c>
      <c r="M32" s="796">
        <v>-492692</v>
      </c>
      <c r="N32" s="19">
        <v>-237391</v>
      </c>
      <c r="O32" s="947">
        <v>421850</v>
      </c>
      <c r="P32" s="19">
        <f>P27</f>
        <v>-730893</v>
      </c>
      <c r="Q32" s="947">
        <v>-735689</v>
      </c>
      <c r="R32" s="19">
        <f>R27</f>
        <v>-604829</v>
      </c>
      <c r="S32" s="947">
        <f>S27</f>
        <v>-512423</v>
      </c>
      <c r="T32" s="19">
        <f>T27</f>
        <v>-556492</v>
      </c>
      <c r="U32" s="947">
        <f>U27</f>
        <v>-93730</v>
      </c>
      <c r="V32" s="19">
        <v>4246174</v>
      </c>
      <c r="W32" s="947">
        <v>4510889</v>
      </c>
      <c r="X32" s="19">
        <v>2846414</v>
      </c>
      <c r="Y32" s="947">
        <v>2868578</v>
      </c>
      <c r="Z32" s="55">
        <v>84870</v>
      </c>
      <c r="AA32" s="986">
        <v>62774</v>
      </c>
      <c r="AB32" s="19">
        <v>-607397</v>
      </c>
      <c r="AC32" s="947">
        <v>-116957</v>
      </c>
      <c r="AD32" s="19">
        <v>374054</v>
      </c>
      <c r="AE32" s="22">
        <v>466788</v>
      </c>
      <c r="AF32" s="19">
        <v>681777</v>
      </c>
      <c r="AG32" s="947">
        <v>1711092</v>
      </c>
      <c r="AH32" s="19">
        <v>268817</v>
      </c>
      <c r="AI32" s="947">
        <v>383545</v>
      </c>
      <c r="AJ32" s="19">
        <v>80259</v>
      </c>
      <c r="AK32" s="947">
        <v>-250364</v>
      </c>
      <c r="AL32" s="979"/>
      <c r="AM32" s="947"/>
      <c r="AN32" s="268">
        <v>3719010</v>
      </c>
      <c r="AO32" s="969">
        <v>3908854</v>
      </c>
      <c r="AP32" s="973">
        <v>-30856</v>
      </c>
      <c r="AQ32" s="372">
        <v>35861</v>
      </c>
      <c r="AR32" s="206">
        <f>AR27</f>
        <v>-128934</v>
      </c>
      <c r="AS32" s="794">
        <v>76361</v>
      </c>
      <c r="AT32" s="19">
        <v>-543691</v>
      </c>
      <c r="AU32" s="947">
        <v>-623127</v>
      </c>
      <c r="AV32" s="15">
        <f t="shared" si="10"/>
        <v>9330577</v>
      </c>
      <c r="AW32" s="332">
        <f t="shared" si="11"/>
        <v>12160721</v>
      </c>
      <c r="AX32" s="206">
        <v>31833</v>
      </c>
      <c r="AY32" s="29">
        <v>27428</v>
      </c>
      <c r="AZ32" s="15">
        <f t="shared" si="12"/>
        <v>9362410</v>
      </c>
      <c r="BA32" s="938">
        <f t="shared" si="13"/>
        <v>12188149</v>
      </c>
    </row>
    <row r="33" spans="1:53">
      <c r="A33" s="810" t="s">
        <v>146</v>
      </c>
      <c r="B33" s="332"/>
      <c r="C33" s="332"/>
      <c r="D33" s="33"/>
      <c r="E33" s="826"/>
      <c r="F33" s="33"/>
      <c r="G33" s="36"/>
      <c r="H33" s="33"/>
      <c r="I33" s="826"/>
      <c r="J33" s="33"/>
      <c r="K33" s="826"/>
      <c r="L33" s="33"/>
      <c r="M33" s="826"/>
      <c r="N33" s="33"/>
      <c r="O33" s="826"/>
      <c r="P33" s="288"/>
      <c r="Q33" s="273"/>
      <c r="R33" s="33"/>
      <c r="S33" s="826"/>
      <c r="T33" s="33"/>
      <c r="U33" s="826"/>
      <c r="V33" s="33"/>
      <c r="W33" s="826"/>
      <c r="X33" s="33"/>
      <c r="Y33" s="826"/>
      <c r="Z33" s="55"/>
      <c r="AA33" s="986"/>
      <c r="AB33" s="33"/>
      <c r="AC33" s="826"/>
      <c r="AD33" s="984"/>
      <c r="AE33" s="38"/>
      <c r="AF33" s="33"/>
      <c r="AG33" s="826"/>
      <c r="AH33" s="33"/>
      <c r="AI33" s="826"/>
      <c r="AJ33" s="33"/>
      <c r="AK33" s="826"/>
      <c r="AL33" s="979"/>
      <c r="AM33" s="947"/>
      <c r="AN33" s="267"/>
      <c r="AO33" s="968"/>
      <c r="AP33" s="973"/>
      <c r="AQ33" s="372"/>
      <c r="AR33" s="206"/>
      <c r="AS33" s="954"/>
      <c r="AT33" s="33"/>
      <c r="AU33" s="826"/>
      <c r="AV33" s="15">
        <f t="shared" si="10"/>
        <v>0</v>
      </c>
      <c r="AW33" s="332">
        <f t="shared" si="11"/>
        <v>0</v>
      </c>
      <c r="AX33" s="33"/>
      <c r="AY33" s="32"/>
      <c r="AZ33" s="15">
        <f t="shared" si="12"/>
        <v>0</v>
      </c>
      <c r="BA33" s="938">
        <f t="shared" si="13"/>
        <v>0</v>
      </c>
    </row>
    <row r="34" spans="1:53" ht="28.5">
      <c r="A34" s="809" t="s">
        <v>147</v>
      </c>
      <c r="B34" s="331">
        <v>-1129634</v>
      </c>
      <c r="C34" s="331">
        <v>-85338</v>
      </c>
      <c r="D34" s="19">
        <v>-5370742</v>
      </c>
      <c r="E34" s="947">
        <v>-6155209</v>
      </c>
      <c r="F34" s="19">
        <v>-12973568</v>
      </c>
      <c r="G34" s="22">
        <v>-13466673</v>
      </c>
      <c r="H34" s="19">
        <v>83393632</v>
      </c>
      <c r="I34" s="947">
        <v>86617668</v>
      </c>
      <c r="J34" s="19">
        <v>-24928221</v>
      </c>
      <c r="K34" s="947">
        <v>-27075518</v>
      </c>
      <c r="L34" s="19">
        <v>54208</v>
      </c>
      <c r="M34" s="947">
        <v>1105083</v>
      </c>
      <c r="N34" s="19">
        <v>-1628700</v>
      </c>
      <c r="O34" s="947">
        <v>-2973027</v>
      </c>
      <c r="P34" s="33">
        <v>-11081431</v>
      </c>
      <c r="Q34" s="826">
        <v>-13932983</v>
      </c>
      <c r="R34" s="19">
        <v>-7258469</v>
      </c>
      <c r="S34" s="947">
        <v>-6975923</v>
      </c>
      <c r="T34" s="19">
        <v>-16633363</v>
      </c>
      <c r="U34" s="947">
        <v>-18188485</v>
      </c>
      <c r="V34" s="19">
        <v>32740263</v>
      </c>
      <c r="W34" s="947">
        <v>45692925</v>
      </c>
      <c r="X34" s="19">
        <v>19842696</v>
      </c>
      <c r="Y34" s="947"/>
      <c r="Z34" s="206">
        <v>1126215</v>
      </c>
      <c r="AA34" s="954">
        <v>1191627</v>
      </c>
      <c r="AB34" s="19">
        <v>-1018662</v>
      </c>
      <c r="AC34" s="947">
        <v>-1992844</v>
      </c>
      <c r="AD34" s="19">
        <v>21830354</v>
      </c>
      <c r="AE34" s="22">
        <v>27912133</v>
      </c>
      <c r="AF34" s="19">
        <v>7538521</v>
      </c>
      <c r="AG34" s="947">
        <v>5182919</v>
      </c>
      <c r="AH34" s="19">
        <v>-7945350</v>
      </c>
      <c r="AI34" s="947">
        <v>-7017637</v>
      </c>
      <c r="AJ34" s="19">
        <v>-2324090</v>
      </c>
      <c r="AK34" s="947">
        <v>-1973481</v>
      </c>
      <c r="AL34" s="979"/>
      <c r="AM34" s="947"/>
      <c r="AN34" s="268">
        <v>64601438</v>
      </c>
      <c r="AO34" s="969">
        <v>78823269</v>
      </c>
      <c r="AP34" s="973">
        <v>4463880</v>
      </c>
      <c r="AQ34" s="372">
        <v>4704449</v>
      </c>
      <c r="AR34" s="206">
        <v>726219</v>
      </c>
      <c r="AS34" s="954">
        <v>1279691</v>
      </c>
      <c r="AT34" s="19">
        <v>900986</v>
      </c>
      <c r="AU34" s="947">
        <v>1341685</v>
      </c>
      <c r="AV34" s="15">
        <f t="shared" si="10"/>
        <v>144926182</v>
      </c>
      <c r="AW34" s="332">
        <f t="shared" si="11"/>
        <v>154014331</v>
      </c>
      <c r="AX34" s="19"/>
      <c r="AY34" s="18"/>
      <c r="AZ34" s="15">
        <f t="shared" si="12"/>
        <v>144926182</v>
      </c>
      <c r="BA34" s="938">
        <f t="shared" si="13"/>
        <v>154014331</v>
      </c>
    </row>
    <row r="35" spans="1:53" ht="28.5">
      <c r="A35" s="809" t="s">
        <v>148</v>
      </c>
      <c r="B35" s="331"/>
      <c r="C35" s="331"/>
      <c r="D35" s="19"/>
      <c r="E35" s="947"/>
      <c r="F35" s="19"/>
      <c r="G35" s="22"/>
      <c r="H35" s="19"/>
      <c r="I35" s="947"/>
      <c r="J35" s="19"/>
      <c r="K35" s="947"/>
      <c r="L35" s="19"/>
      <c r="M35" s="947"/>
      <c r="N35" s="19"/>
      <c r="O35" s="947"/>
      <c r="P35" s="19"/>
      <c r="Q35" s="947"/>
      <c r="R35" s="19"/>
      <c r="S35" s="947"/>
      <c r="T35" s="19"/>
      <c r="U35" s="947"/>
      <c r="V35" s="19"/>
      <c r="W35" s="947"/>
      <c r="X35" s="19"/>
      <c r="Y35" s="947"/>
      <c r="Z35" s="206"/>
      <c r="AA35" s="954"/>
      <c r="AB35" s="19"/>
      <c r="AC35" s="947"/>
      <c r="AD35" s="19"/>
      <c r="AE35" s="22"/>
      <c r="AF35" s="19"/>
      <c r="AG35" s="947"/>
      <c r="AH35" s="19"/>
      <c r="AI35" s="947"/>
      <c r="AJ35" s="19"/>
      <c r="AK35" s="947"/>
      <c r="AL35" s="979"/>
      <c r="AM35" s="947"/>
      <c r="AN35" s="269"/>
      <c r="AO35" s="970"/>
      <c r="AP35" s="973"/>
      <c r="AQ35" s="372"/>
      <c r="AR35" s="206"/>
      <c r="AS35" s="954"/>
      <c r="AT35" s="19"/>
      <c r="AU35" s="947"/>
      <c r="AV35" s="15">
        <f t="shared" si="10"/>
        <v>0</v>
      </c>
      <c r="AW35" s="332">
        <f t="shared" si="11"/>
        <v>0</v>
      </c>
      <c r="AX35" s="19"/>
      <c r="AY35" s="18"/>
      <c r="AZ35" s="15">
        <f t="shared" si="12"/>
        <v>0</v>
      </c>
      <c r="BA35" s="938">
        <f t="shared" si="13"/>
        <v>0</v>
      </c>
    </row>
    <row r="36" spans="1:53" ht="28.5">
      <c r="A36" s="811" t="s">
        <v>149</v>
      </c>
      <c r="B36" s="331"/>
      <c r="C36" s="331"/>
      <c r="D36" s="19"/>
      <c r="E36" s="947"/>
      <c r="F36" s="19"/>
      <c r="G36" s="22"/>
      <c r="H36" s="19"/>
      <c r="I36" s="947"/>
      <c r="J36" s="19"/>
      <c r="K36" s="947"/>
      <c r="L36" s="19"/>
      <c r="M36" s="947"/>
      <c r="N36" s="19"/>
      <c r="O36" s="947"/>
      <c r="P36" s="19"/>
      <c r="Q36" s="947"/>
      <c r="R36" s="19"/>
      <c r="S36" s="947"/>
      <c r="T36" s="19"/>
      <c r="U36" s="947"/>
      <c r="V36" s="19"/>
      <c r="W36" s="947"/>
      <c r="X36" s="19"/>
      <c r="Y36" s="947"/>
      <c r="Z36" s="206">
        <v>-800000</v>
      </c>
      <c r="AA36" s="954"/>
      <c r="AB36" s="19"/>
      <c r="AC36" s="947"/>
      <c r="AD36" s="19"/>
      <c r="AE36" s="22"/>
      <c r="AF36" s="19">
        <v>2647962</v>
      </c>
      <c r="AG36" s="947"/>
      <c r="AH36" s="19"/>
      <c r="AI36" s="947"/>
      <c r="AJ36" s="19"/>
      <c r="AK36" s="947"/>
      <c r="AL36" s="979"/>
      <c r="AM36" s="947"/>
      <c r="AN36" s="269"/>
      <c r="AO36" s="970"/>
      <c r="AP36" s="973"/>
      <c r="AQ36" s="372"/>
      <c r="AR36" s="206"/>
      <c r="AS36" s="954"/>
      <c r="AT36" s="19"/>
      <c r="AU36" s="947"/>
      <c r="AV36" s="15">
        <f t="shared" si="10"/>
        <v>1847962</v>
      </c>
      <c r="AW36" s="332">
        <f t="shared" si="11"/>
        <v>0</v>
      </c>
      <c r="AX36" s="19"/>
      <c r="AY36" s="18"/>
      <c r="AZ36" s="15">
        <f t="shared" si="12"/>
        <v>1847962</v>
      </c>
      <c r="BA36" s="938">
        <f t="shared" si="13"/>
        <v>0</v>
      </c>
    </row>
    <row r="37" spans="1:53">
      <c r="A37" s="809" t="s">
        <v>150</v>
      </c>
      <c r="B37" s="331"/>
      <c r="C37" s="331"/>
      <c r="D37" s="19"/>
      <c r="E37" s="947"/>
      <c r="F37" s="19"/>
      <c r="G37" s="22"/>
      <c r="H37" s="19"/>
      <c r="I37" s="947"/>
      <c r="J37" s="19"/>
      <c r="K37" s="947"/>
      <c r="L37" s="19"/>
      <c r="M37" s="947"/>
      <c r="N37" s="19"/>
      <c r="O37" s="947"/>
      <c r="P37" s="19"/>
      <c r="Q37" s="947"/>
      <c r="R37" s="19"/>
      <c r="S37" s="947"/>
      <c r="T37" s="19"/>
      <c r="U37" s="947"/>
      <c r="V37" s="19"/>
      <c r="W37" s="947"/>
      <c r="X37" s="19"/>
      <c r="Y37" s="947"/>
      <c r="Z37" s="206">
        <v>-164442</v>
      </c>
      <c r="AA37" s="954"/>
      <c r="AB37" s="19"/>
      <c r="AC37" s="947"/>
      <c r="AD37" s="19"/>
      <c r="AE37" s="22"/>
      <c r="AF37" s="19">
        <v>544296</v>
      </c>
      <c r="AG37" s="947"/>
      <c r="AH37" s="19"/>
      <c r="AI37" s="947"/>
      <c r="AJ37" s="19"/>
      <c r="AK37" s="947"/>
      <c r="AL37" s="979"/>
      <c r="AM37" s="947"/>
      <c r="AN37" s="269"/>
      <c r="AO37" s="970"/>
      <c r="AP37" s="973"/>
      <c r="AQ37" s="372"/>
      <c r="AR37" s="206"/>
      <c r="AS37" s="954"/>
      <c r="AT37" s="19"/>
      <c r="AU37" s="947"/>
      <c r="AV37" s="15">
        <f t="shared" si="10"/>
        <v>379854</v>
      </c>
      <c r="AW37" s="332">
        <f t="shared" si="11"/>
        <v>0</v>
      </c>
      <c r="AX37" s="19"/>
      <c r="AY37" s="18"/>
      <c r="AZ37" s="15">
        <f t="shared" si="12"/>
        <v>379854</v>
      </c>
      <c r="BA37" s="938">
        <f t="shared" si="13"/>
        <v>0</v>
      </c>
    </row>
    <row r="38" spans="1:53" ht="28.5">
      <c r="A38" s="809" t="s">
        <v>151</v>
      </c>
      <c r="B38" s="332"/>
      <c r="C38" s="332"/>
      <c r="D38" s="33"/>
      <c r="E38" s="950"/>
      <c r="F38" s="33"/>
      <c r="G38" s="38"/>
      <c r="H38" s="33"/>
      <c r="I38" s="950"/>
      <c r="J38" s="33"/>
      <c r="K38" s="950">
        <v>223</v>
      </c>
      <c r="L38" s="33"/>
      <c r="M38" s="950"/>
      <c r="N38" s="33"/>
      <c r="O38" s="950"/>
      <c r="P38" s="33"/>
      <c r="Q38" s="950"/>
      <c r="R38" s="33"/>
      <c r="S38" s="950"/>
      <c r="T38" s="33"/>
      <c r="U38" s="950"/>
      <c r="V38" s="33"/>
      <c r="W38" s="950"/>
      <c r="X38" s="33"/>
      <c r="Y38" s="950"/>
      <c r="Z38" s="55"/>
      <c r="AA38" s="987"/>
      <c r="AB38" s="33"/>
      <c r="AC38" s="950"/>
      <c r="AD38" s="984"/>
      <c r="AE38" s="38"/>
      <c r="AF38" s="33"/>
      <c r="AG38" s="950"/>
      <c r="AH38" s="33"/>
      <c r="AI38" s="950"/>
      <c r="AJ38" s="33"/>
      <c r="AK38" s="950"/>
      <c r="AL38" s="979"/>
      <c r="AM38" s="976"/>
      <c r="AN38" s="269"/>
      <c r="AO38" s="970"/>
      <c r="AP38" s="973"/>
      <c r="AQ38" s="960"/>
      <c r="AR38" s="206"/>
      <c r="AS38" s="955"/>
      <c r="AT38" s="33"/>
      <c r="AU38" s="950"/>
      <c r="AV38" s="15">
        <f t="shared" si="10"/>
        <v>0</v>
      </c>
      <c r="AW38" s="332">
        <f t="shared" si="11"/>
        <v>223</v>
      </c>
      <c r="AX38" s="33">
        <v>31833</v>
      </c>
      <c r="AY38" s="37">
        <v>27428</v>
      </c>
      <c r="AZ38" s="15">
        <f t="shared" si="12"/>
        <v>31833</v>
      </c>
      <c r="BA38" s="938">
        <f t="shared" si="13"/>
        <v>27651</v>
      </c>
    </row>
    <row r="39" spans="1:53" ht="28.5">
      <c r="A39" s="812" t="s">
        <v>274</v>
      </c>
      <c r="B39" s="332"/>
      <c r="C39" s="332"/>
      <c r="D39" s="643"/>
      <c r="E39" s="951"/>
      <c r="F39" s="643"/>
      <c r="G39" s="639"/>
      <c r="H39" s="643"/>
      <c r="I39" s="951"/>
      <c r="J39" s="643"/>
      <c r="K39" s="951"/>
      <c r="L39" s="643"/>
      <c r="M39" s="951"/>
      <c r="N39" s="643"/>
      <c r="O39" s="951"/>
      <c r="P39" s="643"/>
      <c r="Q39" s="951"/>
      <c r="R39" s="643"/>
      <c r="S39" s="951"/>
      <c r="T39" s="643"/>
      <c r="U39" s="951"/>
      <c r="V39" s="643"/>
      <c r="W39" s="951"/>
      <c r="X39" s="643"/>
      <c r="Y39" s="951"/>
      <c r="Z39" s="992"/>
      <c r="AA39" s="988"/>
      <c r="AB39" s="643"/>
      <c r="AC39" s="951"/>
      <c r="AD39" s="985"/>
      <c r="AE39" s="639"/>
      <c r="AF39" s="643"/>
      <c r="AG39" s="951"/>
      <c r="AH39" s="643"/>
      <c r="AI39" s="951"/>
      <c r="AJ39" s="643"/>
      <c r="AK39" s="951"/>
      <c r="AL39" s="980"/>
      <c r="AM39" s="977"/>
      <c r="AN39" s="640"/>
      <c r="AO39" s="971"/>
      <c r="AP39" s="318">
        <v>2771</v>
      </c>
      <c r="AQ39" s="641"/>
      <c r="AR39" s="622"/>
      <c r="AS39" s="956"/>
      <c r="AT39" s="643"/>
      <c r="AU39" s="951"/>
      <c r="AV39" s="635"/>
      <c r="AW39" s="943"/>
      <c r="AX39" s="643"/>
      <c r="AY39" s="638"/>
      <c r="AZ39" s="635"/>
      <c r="BA39" s="636"/>
    </row>
    <row r="40" spans="1:53" s="867" customFormat="1" ht="27.75" thickBot="1">
      <c r="A40" s="862" t="s">
        <v>152</v>
      </c>
      <c r="B40" s="999">
        <f t="shared" ref="B40:I40" si="14">B32+B34</f>
        <v>-912667</v>
      </c>
      <c r="C40" s="999">
        <f t="shared" si="14"/>
        <v>70592</v>
      </c>
      <c r="D40" s="866">
        <f t="shared" si="14"/>
        <v>-5636674</v>
      </c>
      <c r="E40" s="952">
        <f t="shared" si="14"/>
        <v>-6408541</v>
      </c>
      <c r="F40" s="866">
        <f t="shared" si="14"/>
        <v>-12987502</v>
      </c>
      <c r="G40" s="864">
        <f t="shared" si="14"/>
        <v>-13792889</v>
      </c>
      <c r="H40" s="963">
        <f t="shared" si="14"/>
        <v>84010774</v>
      </c>
      <c r="I40" s="952">
        <f t="shared" si="14"/>
        <v>87917914</v>
      </c>
      <c r="J40" s="866">
        <f t="shared" ref="J40:X40" si="15">J32+J34</f>
        <v>-25273644</v>
      </c>
      <c r="K40" s="952">
        <f t="shared" si="15"/>
        <v>-27413035</v>
      </c>
      <c r="L40" s="866">
        <f t="shared" si="15"/>
        <v>315073</v>
      </c>
      <c r="M40" s="952">
        <f t="shared" si="15"/>
        <v>612391</v>
      </c>
      <c r="N40" s="866">
        <f t="shared" si="15"/>
        <v>-1866091</v>
      </c>
      <c r="O40" s="952">
        <f t="shared" si="15"/>
        <v>-2551177</v>
      </c>
      <c r="P40" s="866">
        <f t="shared" si="15"/>
        <v>-11812324</v>
      </c>
      <c r="Q40" s="952">
        <f t="shared" si="15"/>
        <v>-14668672</v>
      </c>
      <c r="R40" s="866">
        <f t="shared" si="15"/>
        <v>-7863298</v>
      </c>
      <c r="S40" s="952">
        <f t="shared" si="15"/>
        <v>-7488346</v>
      </c>
      <c r="T40" s="866">
        <f t="shared" si="15"/>
        <v>-17189855</v>
      </c>
      <c r="U40" s="952">
        <f t="shared" si="15"/>
        <v>-18282215</v>
      </c>
      <c r="V40" s="963">
        <f t="shared" si="15"/>
        <v>36986437</v>
      </c>
      <c r="W40" s="952">
        <f t="shared" si="15"/>
        <v>50203814</v>
      </c>
      <c r="X40" s="963">
        <f t="shared" si="15"/>
        <v>22689110</v>
      </c>
      <c r="Y40" s="952">
        <v>29313264</v>
      </c>
      <c r="Z40" s="963">
        <v>246643</v>
      </c>
      <c r="AA40" s="952">
        <f>AA32+AA34</f>
        <v>1254401</v>
      </c>
      <c r="AB40" s="963">
        <f>AB32+AB34</f>
        <v>-1626059</v>
      </c>
      <c r="AC40" s="952">
        <f>AC32+AC34</f>
        <v>-2109801</v>
      </c>
      <c r="AD40" s="866">
        <f>AD32+AD34</f>
        <v>22204408</v>
      </c>
      <c r="AE40" s="864">
        <f>AE32+AE34</f>
        <v>28378921</v>
      </c>
      <c r="AF40" s="963">
        <v>5028040</v>
      </c>
      <c r="AG40" s="952">
        <v>6894011</v>
      </c>
      <c r="AH40" s="866">
        <f>AH32+AH34</f>
        <v>-7676533</v>
      </c>
      <c r="AI40" s="982">
        <f>AI32+AI34</f>
        <v>-6634092</v>
      </c>
      <c r="AJ40" s="866">
        <f t="shared" ref="AJ40:AO40" si="16">AJ32+AJ34</f>
        <v>-2243831</v>
      </c>
      <c r="AK40" s="952">
        <f t="shared" si="16"/>
        <v>-2223845</v>
      </c>
      <c r="AL40" s="866">
        <f t="shared" si="16"/>
        <v>0</v>
      </c>
      <c r="AM40" s="952">
        <f t="shared" si="16"/>
        <v>0</v>
      </c>
      <c r="AN40" s="963">
        <f t="shared" si="16"/>
        <v>68320448</v>
      </c>
      <c r="AO40" s="952">
        <f t="shared" si="16"/>
        <v>82732123</v>
      </c>
      <c r="AP40" s="963">
        <v>4430254</v>
      </c>
      <c r="AQ40" s="952">
        <v>4740310</v>
      </c>
      <c r="AR40" s="963">
        <f>AR32+AR34</f>
        <v>597285</v>
      </c>
      <c r="AS40" s="952">
        <f>AS32+AS34</f>
        <v>1356052</v>
      </c>
      <c r="AT40" s="866">
        <f>AT32+AT34</f>
        <v>357295</v>
      </c>
      <c r="AU40" s="952">
        <f>AU32+AU34</f>
        <v>718558</v>
      </c>
      <c r="AV40" s="865">
        <f>SUM(B40+D40+F40+H40+J40+L40+N40+P40+R40+T40+V40+X40+Z40+AB40+AD40+AF40+AH40+AJ40+AL40+AN40+AP40+AR40+AT40)</f>
        <v>150097289</v>
      </c>
      <c r="AW40" s="944">
        <f>SUM(C40+E40+G40+I40+K40+M40+O40+Q40+S40+U40+W40+Y40+AA40+AC40+AE40+AG40+AI40+AK40+AM40+AO40+AQ40+AS40+AU40)</f>
        <v>192619738</v>
      </c>
      <c r="AX40" s="866">
        <v>0</v>
      </c>
      <c r="AY40" s="863">
        <v>0</v>
      </c>
      <c r="AZ40" s="866">
        <f>AZ32+AZ34</f>
        <v>154288592</v>
      </c>
      <c r="BA40" s="864">
        <f>BA32+BA34</f>
        <v>166202480</v>
      </c>
    </row>
    <row r="41" spans="1:53" s="53" customFormat="1" ht="28.5">
      <c r="A41" s="290" t="s">
        <v>153</v>
      </c>
      <c r="B41" s="813">
        <v>0.11</v>
      </c>
      <c r="C41" s="813">
        <v>0.08</v>
      </c>
      <c r="D41" s="294"/>
      <c r="E41" s="953"/>
      <c r="F41" s="294">
        <v>0.01</v>
      </c>
      <c r="G41" s="277"/>
      <c r="H41" s="294"/>
      <c r="I41" s="953"/>
      <c r="J41" s="294">
        <v>-0.14000000000000001</v>
      </c>
      <c r="K41" s="953">
        <v>-0.12</v>
      </c>
      <c r="L41" s="294"/>
      <c r="M41" s="953"/>
      <c r="N41" s="294">
        <v>-0.63</v>
      </c>
      <c r="O41" s="953">
        <v>1.1299999999999999</v>
      </c>
      <c r="P41" s="996">
        <v>-2.34</v>
      </c>
      <c r="Q41" s="291">
        <v>-2.35</v>
      </c>
      <c r="R41" s="294"/>
      <c r="S41" s="953"/>
      <c r="T41" s="294"/>
      <c r="U41" s="953"/>
      <c r="V41" s="294"/>
      <c r="W41" s="953"/>
      <c r="X41" s="294"/>
      <c r="Y41" s="953"/>
      <c r="Z41" s="993"/>
      <c r="AA41" s="989"/>
      <c r="AB41" s="294"/>
      <c r="AC41" s="953"/>
      <c r="AD41" s="294"/>
      <c r="AE41" s="277"/>
      <c r="AF41" s="294"/>
      <c r="AG41" s="953"/>
      <c r="AH41" s="294"/>
      <c r="AI41" s="953"/>
      <c r="AJ41" s="294"/>
      <c r="AK41" s="953"/>
      <c r="AL41" s="302"/>
      <c r="AM41" s="953"/>
      <c r="AN41" s="292"/>
      <c r="AO41" s="972"/>
      <c r="AP41" s="974"/>
      <c r="AQ41" s="961"/>
      <c r="AR41" s="964"/>
      <c r="AS41" s="957"/>
      <c r="AT41" s="294"/>
      <c r="AU41" s="953"/>
      <c r="AV41" s="275"/>
      <c r="AW41" s="945"/>
      <c r="AX41" s="294"/>
      <c r="AY41" s="276"/>
      <c r="AZ41" s="275"/>
      <c r="BA41" s="293"/>
    </row>
    <row r="42" spans="1:53">
      <c r="A42" s="264" t="s">
        <v>154</v>
      </c>
      <c r="B42" s="331"/>
      <c r="C42" s="331"/>
      <c r="D42" s="19"/>
      <c r="E42" s="947"/>
      <c r="F42" s="19"/>
      <c r="G42" s="22"/>
      <c r="H42" s="19"/>
      <c r="I42" s="947"/>
      <c r="J42" s="19"/>
      <c r="K42" s="947"/>
      <c r="L42" s="19"/>
      <c r="M42" s="947"/>
      <c r="N42" s="19"/>
      <c r="O42" s="947"/>
      <c r="P42" s="19"/>
      <c r="Q42" s="947"/>
      <c r="R42" s="19"/>
      <c r="S42" s="947"/>
      <c r="T42" s="19"/>
      <c r="U42" s="947"/>
      <c r="V42" s="19">
        <v>10</v>
      </c>
      <c r="W42" s="947">
        <v>10</v>
      </c>
      <c r="X42" s="19">
        <v>10</v>
      </c>
      <c r="Y42" s="947">
        <v>10</v>
      </c>
      <c r="Z42" s="55">
        <v>0.11</v>
      </c>
      <c r="AA42" s="986">
        <v>0.12</v>
      </c>
      <c r="AB42" s="2">
        <v>0.97</v>
      </c>
      <c r="AC42" s="207">
        <v>0.15</v>
      </c>
      <c r="AD42" s="19">
        <v>10</v>
      </c>
      <c r="AE42" s="22">
        <v>10</v>
      </c>
      <c r="AF42" s="19"/>
      <c r="AG42" s="947"/>
      <c r="AH42" s="19"/>
      <c r="AI42" s="947"/>
      <c r="AJ42" s="19"/>
      <c r="AK42" s="947"/>
      <c r="AL42" s="979"/>
      <c r="AM42" s="947"/>
      <c r="AN42" s="267"/>
      <c r="AO42" s="968"/>
      <c r="AP42" s="973"/>
      <c r="AQ42" s="372"/>
      <c r="AR42" s="288"/>
      <c r="AS42" s="273"/>
      <c r="AT42" s="19"/>
      <c r="AU42" s="947"/>
      <c r="AV42" s="33"/>
      <c r="AW42" s="826"/>
      <c r="AX42" s="19"/>
      <c r="AY42" s="18"/>
      <c r="AZ42" s="33"/>
      <c r="BA42" s="36"/>
    </row>
    <row r="43" spans="1:53">
      <c r="A43" s="265" t="s">
        <v>155</v>
      </c>
      <c r="B43" s="1000"/>
      <c r="C43" s="1000"/>
      <c r="D43" s="19"/>
      <c r="E43" s="947"/>
      <c r="F43" s="19"/>
      <c r="G43" s="22"/>
      <c r="H43" s="19"/>
      <c r="I43" s="947"/>
      <c r="J43" s="2"/>
      <c r="K43" s="207"/>
      <c r="L43" s="19"/>
      <c r="M43" s="947"/>
      <c r="N43" s="19"/>
      <c r="O43" s="947"/>
      <c r="P43" s="2"/>
      <c r="Q43" s="207"/>
      <c r="R43" s="19"/>
      <c r="S43" s="947"/>
      <c r="T43" s="19"/>
      <c r="U43" s="947"/>
      <c r="V43" s="2">
        <v>2.1</v>
      </c>
      <c r="W43" s="207">
        <v>2.23</v>
      </c>
      <c r="X43" s="2">
        <v>1.98</v>
      </c>
      <c r="Y43" s="207">
        <v>2</v>
      </c>
      <c r="Z43" s="208">
        <v>0.11</v>
      </c>
      <c r="AA43" s="1093">
        <v>0.08</v>
      </c>
      <c r="AB43" s="2">
        <v>0.97</v>
      </c>
      <c r="AC43" s="207">
        <v>0.18</v>
      </c>
      <c r="AD43" s="2">
        <v>0.73</v>
      </c>
      <c r="AE43" s="4">
        <v>0.91</v>
      </c>
      <c r="AF43" s="19"/>
      <c r="AG43" s="947"/>
      <c r="AH43" s="19"/>
      <c r="AI43" s="947"/>
      <c r="AJ43" s="19"/>
      <c r="AK43" s="947"/>
      <c r="AL43" s="979"/>
      <c r="AM43" s="947"/>
      <c r="AN43" s="1132">
        <v>3.72</v>
      </c>
      <c r="AO43" s="1133">
        <v>3.91</v>
      </c>
      <c r="AP43" s="973"/>
      <c r="AQ43" s="372"/>
      <c r="AR43" s="965">
        <v>-0.5</v>
      </c>
      <c r="AS43" s="958">
        <v>0.28999999999999998</v>
      </c>
      <c r="AT43" s="19"/>
      <c r="AU43" s="947"/>
      <c r="AV43" s="33"/>
      <c r="AW43" s="826"/>
      <c r="AX43" s="19"/>
      <c r="AY43" s="18"/>
      <c r="AZ43" s="33"/>
      <c r="BA43" s="36"/>
    </row>
    <row r="44" spans="1:53" ht="15" thickBot="1">
      <c r="A44" s="266" t="s">
        <v>156</v>
      </c>
      <c r="B44" s="1001"/>
      <c r="C44" s="1001"/>
      <c r="D44" s="58"/>
      <c r="E44" s="946"/>
      <c r="F44" s="58"/>
      <c r="G44" s="57"/>
      <c r="H44" s="58"/>
      <c r="I44" s="946"/>
      <c r="J44" s="58"/>
      <c r="K44" s="946"/>
      <c r="L44" s="58"/>
      <c r="M44" s="946"/>
      <c r="N44" s="58"/>
      <c r="O44" s="946"/>
      <c r="P44" s="58"/>
      <c r="Q44" s="946"/>
      <c r="R44" s="58"/>
      <c r="S44" s="946"/>
      <c r="T44" s="58"/>
      <c r="U44" s="946"/>
      <c r="V44" s="995">
        <v>2.1</v>
      </c>
      <c r="W44" s="991">
        <v>2.23</v>
      </c>
      <c r="X44" s="995">
        <v>1.98</v>
      </c>
      <c r="Y44" s="991">
        <v>2</v>
      </c>
      <c r="Z44" s="994"/>
      <c r="AA44" s="990"/>
      <c r="AB44" s="58"/>
      <c r="AC44" s="946"/>
      <c r="AD44" s="1130">
        <v>0.73</v>
      </c>
      <c r="AE44" s="1131">
        <v>0.91</v>
      </c>
      <c r="AF44" s="58"/>
      <c r="AG44" s="946"/>
      <c r="AH44" s="58"/>
      <c r="AI44" s="946"/>
      <c r="AJ44" s="58"/>
      <c r="AK44" s="946"/>
      <c r="AL44" s="981"/>
      <c r="AM44" s="978"/>
      <c r="AN44" s="1134">
        <v>3.72</v>
      </c>
      <c r="AO44" s="1135">
        <v>3.91</v>
      </c>
      <c r="AP44" s="975"/>
      <c r="AQ44" s="962"/>
      <c r="AR44" s="966">
        <v>-0.5</v>
      </c>
      <c r="AS44" s="959">
        <v>0.28999999999999998</v>
      </c>
      <c r="AT44" s="58"/>
      <c r="AU44" s="946"/>
      <c r="AV44" s="58"/>
      <c r="AW44" s="946"/>
      <c r="AX44" s="58"/>
      <c r="AY44" s="56"/>
      <c r="AZ44" s="58"/>
      <c r="BA44" s="57"/>
    </row>
  </sheetData>
  <mergeCells count="28">
    <mergeCell ref="A1:BA1"/>
    <mergeCell ref="A2:BA2"/>
    <mergeCell ref="A3:A4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AB3:AC3"/>
    <mergeCell ref="Z3:AA3"/>
    <mergeCell ref="X3:Y3"/>
    <mergeCell ref="V3:W3"/>
    <mergeCell ref="AD3:AE3"/>
    <mergeCell ref="AF3:AG3"/>
    <mergeCell ref="AH3:AI3"/>
    <mergeCell ref="AJ3:AK3"/>
    <mergeCell ref="AL3:AM3"/>
    <mergeCell ref="AN3:AO3"/>
    <mergeCell ref="AP3:AQ3"/>
    <mergeCell ref="AR3:AS3"/>
    <mergeCell ref="AZ3:BA3"/>
    <mergeCell ref="AX3:AY3"/>
    <mergeCell ref="AV3:AW3"/>
    <mergeCell ref="AT3:AU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67"/>
  <sheetViews>
    <sheetView showGridLines="0" view="pageBreakPreview" zoomScale="60" zoomScaleNormal="89" workbookViewId="0">
      <pane xSplit="1" topLeftCell="B1" activePane="topRight" state="frozen"/>
      <selection pane="topRight" activeCell="AY67" sqref="AY67"/>
    </sheetView>
    <sheetView topLeftCell="M1" workbookViewId="1">
      <selection activeCell="T1" sqref="T1:U1"/>
    </sheetView>
  </sheetViews>
  <sheetFormatPr defaultRowHeight="14.25"/>
  <cols>
    <col min="1" max="1" width="44.140625" style="415" customWidth="1"/>
    <col min="2" max="2" width="11.85546875" style="415" customWidth="1"/>
    <col min="3" max="3" width="11.7109375" style="415" customWidth="1"/>
    <col min="4" max="4" width="11.140625" style="415" customWidth="1"/>
    <col min="5" max="5" width="11.28515625" style="415" customWidth="1"/>
    <col min="6" max="8" width="11.140625" style="415" customWidth="1"/>
    <col min="9" max="9" width="11.28515625" style="415" customWidth="1"/>
    <col min="10" max="10" width="11" style="415" customWidth="1"/>
    <col min="11" max="11" width="11.7109375" style="415" customWidth="1"/>
    <col min="12" max="12" width="11.28515625" style="415" customWidth="1"/>
    <col min="13" max="13" width="11.42578125" style="415" customWidth="1"/>
    <col min="14" max="14" width="11.5703125" style="415" customWidth="1"/>
    <col min="15" max="15" width="11.140625" style="415" customWidth="1"/>
    <col min="16" max="16" width="11.28515625" style="415" customWidth="1"/>
    <col min="17" max="17" width="11.42578125" style="415" customWidth="1"/>
    <col min="18" max="19" width="11.28515625" style="415" customWidth="1"/>
    <col min="20" max="20" width="11.7109375" style="415" customWidth="1"/>
    <col min="21" max="21" width="11" style="415" customWidth="1"/>
    <col min="22" max="24" width="11.28515625" style="415" customWidth="1"/>
    <col min="25" max="25" width="11.42578125" style="415" customWidth="1"/>
    <col min="26" max="26" width="11" style="415" customWidth="1"/>
    <col min="27" max="27" width="12.7109375" style="415" customWidth="1"/>
    <col min="28" max="28" width="11.42578125" style="415" customWidth="1"/>
    <col min="29" max="29" width="12.5703125" style="415" customWidth="1"/>
    <col min="30" max="30" width="10.140625" style="415" customWidth="1"/>
    <col min="31" max="33" width="11" style="415" customWidth="1"/>
    <col min="34" max="34" width="12.7109375" style="415" customWidth="1"/>
    <col min="35" max="36" width="11.7109375" style="415" customWidth="1"/>
    <col min="37" max="37" width="11.140625" style="415" customWidth="1"/>
    <col min="38" max="38" width="11.85546875" style="415" customWidth="1"/>
    <col min="39" max="39" width="10.42578125" style="415" customWidth="1"/>
    <col min="40" max="40" width="11" style="415" customWidth="1"/>
    <col min="41" max="41" width="11.28515625" style="415" customWidth="1"/>
    <col min="42" max="42" width="11" style="415" customWidth="1"/>
    <col min="43" max="43" width="11.140625" style="415" customWidth="1"/>
    <col min="44" max="44" width="11.5703125" style="415" customWidth="1"/>
    <col min="45" max="45" width="12.140625" style="415" customWidth="1"/>
    <col min="46" max="46" width="9" style="415" customWidth="1"/>
    <col min="47" max="47" width="11.42578125" style="415" customWidth="1"/>
    <col min="48" max="48" width="11.140625" style="415" customWidth="1"/>
    <col min="49" max="49" width="12.7109375" style="415" customWidth="1"/>
    <col min="50" max="50" width="13.140625" style="415" customWidth="1"/>
    <col min="51" max="51" width="11.5703125" style="415" customWidth="1"/>
    <col min="52" max="52" width="11.28515625" style="415" customWidth="1"/>
    <col min="53" max="53" width="11.42578125" style="415" customWidth="1"/>
    <col min="54" max="16384" width="9.140625" style="415"/>
  </cols>
  <sheetData>
    <row r="1" spans="1:53" ht="65.25" customHeight="1" thickBot="1">
      <c r="A1" s="81" t="s">
        <v>357</v>
      </c>
      <c r="B1" s="1218" t="s">
        <v>164</v>
      </c>
      <c r="C1" s="1219"/>
      <c r="D1" s="1220" t="s">
        <v>310</v>
      </c>
      <c r="E1" s="1221"/>
      <c r="F1" s="1222" t="s">
        <v>166</v>
      </c>
      <c r="G1" s="1221"/>
      <c r="H1" s="1222" t="s">
        <v>167</v>
      </c>
      <c r="I1" s="1221"/>
      <c r="J1" s="1222" t="s">
        <v>304</v>
      </c>
      <c r="K1" s="1221"/>
      <c r="L1" s="1220" t="s">
        <v>169</v>
      </c>
      <c r="M1" s="1221"/>
      <c r="N1" s="1220" t="s">
        <v>371</v>
      </c>
      <c r="O1" s="1221"/>
      <c r="P1" s="1222" t="s">
        <v>192</v>
      </c>
      <c r="Q1" s="1222"/>
      <c r="R1" s="1220" t="s">
        <v>309</v>
      </c>
      <c r="S1" s="1221"/>
      <c r="T1" s="1220" t="s">
        <v>307</v>
      </c>
      <c r="U1" s="1221"/>
      <c r="V1" s="1222" t="s">
        <v>308</v>
      </c>
      <c r="W1" s="1221"/>
      <c r="X1" s="1222" t="s">
        <v>306</v>
      </c>
      <c r="Y1" s="1221"/>
      <c r="Z1" s="1222" t="s">
        <v>195</v>
      </c>
      <c r="AA1" s="1222"/>
      <c r="AB1" s="1220" t="s">
        <v>177</v>
      </c>
      <c r="AC1" s="1221"/>
      <c r="AD1" s="1223" t="s">
        <v>178</v>
      </c>
      <c r="AE1" s="1224"/>
      <c r="AF1" s="1220" t="s">
        <v>179</v>
      </c>
      <c r="AG1" s="1221"/>
      <c r="AH1" s="1220" t="s">
        <v>294</v>
      </c>
      <c r="AI1" s="1221"/>
      <c r="AJ1" s="1220" t="s">
        <v>181</v>
      </c>
      <c r="AK1" s="1221"/>
      <c r="AL1" s="1227" t="s">
        <v>182</v>
      </c>
      <c r="AM1" s="1227"/>
      <c r="AN1" s="1220" t="s">
        <v>183</v>
      </c>
      <c r="AO1" s="1221"/>
      <c r="AP1" s="1220" t="s">
        <v>184</v>
      </c>
      <c r="AQ1" s="1221"/>
      <c r="AR1" s="1222" t="s">
        <v>305</v>
      </c>
      <c r="AS1" s="1222"/>
      <c r="AT1" s="1220" t="s">
        <v>186</v>
      </c>
      <c r="AU1" s="1221"/>
      <c r="AV1" s="1228" t="s">
        <v>1</v>
      </c>
      <c r="AW1" s="1229"/>
      <c r="AX1" s="1223" t="s">
        <v>187</v>
      </c>
      <c r="AY1" s="1224"/>
      <c r="AZ1" s="1225" t="s">
        <v>2</v>
      </c>
      <c r="BA1" s="1226"/>
    </row>
    <row r="2" spans="1:53" s="414" customFormat="1" ht="69" customHeight="1" thickBot="1">
      <c r="A2" s="597" t="s">
        <v>0</v>
      </c>
      <c r="B2" s="1165" t="s">
        <v>348</v>
      </c>
      <c r="C2" s="1166" t="s">
        <v>364</v>
      </c>
      <c r="D2" s="1167" t="s">
        <v>348</v>
      </c>
      <c r="E2" s="1165" t="s">
        <v>364</v>
      </c>
      <c r="F2" s="1165" t="s">
        <v>348</v>
      </c>
      <c r="G2" s="1166" t="s">
        <v>364</v>
      </c>
      <c r="H2" s="1165" t="s">
        <v>348</v>
      </c>
      <c r="I2" s="1166" t="s">
        <v>364</v>
      </c>
      <c r="J2" s="1165" t="s">
        <v>348</v>
      </c>
      <c r="K2" s="1166" t="s">
        <v>364</v>
      </c>
      <c r="L2" s="1165" t="s">
        <v>348</v>
      </c>
      <c r="M2" s="1166" t="s">
        <v>364</v>
      </c>
      <c r="N2" s="1165" t="s">
        <v>348</v>
      </c>
      <c r="O2" s="1166" t="s">
        <v>364</v>
      </c>
      <c r="P2" s="1167" t="s">
        <v>348</v>
      </c>
      <c r="Q2" s="1165" t="s">
        <v>364</v>
      </c>
      <c r="R2" s="1165" t="s">
        <v>348</v>
      </c>
      <c r="S2" s="1166" t="s">
        <v>364</v>
      </c>
      <c r="T2" s="1165" t="s">
        <v>348</v>
      </c>
      <c r="U2" s="1165" t="s">
        <v>364</v>
      </c>
      <c r="V2" s="1198" t="s">
        <v>348</v>
      </c>
      <c r="W2" s="1200" t="s">
        <v>364</v>
      </c>
      <c r="X2" s="1198" t="s">
        <v>348</v>
      </c>
      <c r="Y2" s="1199" t="s">
        <v>364</v>
      </c>
      <c r="Z2" s="1167" t="s">
        <v>348</v>
      </c>
      <c r="AA2" s="1165" t="s">
        <v>364</v>
      </c>
      <c r="AB2" s="1165" t="s">
        <v>348</v>
      </c>
      <c r="AC2" s="1166" t="s">
        <v>364</v>
      </c>
      <c r="AD2" s="1165" t="s">
        <v>348</v>
      </c>
      <c r="AE2" s="1166" t="s">
        <v>364</v>
      </c>
      <c r="AF2" s="1165" t="s">
        <v>348</v>
      </c>
      <c r="AG2" s="1166" t="s">
        <v>364</v>
      </c>
      <c r="AH2" s="1165" t="s">
        <v>348</v>
      </c>
      <c r="AI2" s="1166" t="s">
        <v>364</v>
      </c>
      <c r="AJ2" s="1165" t="s">
        <v>348</v>
      </c>
      <c r="AK2" s="1166" t="s">
        <v>364</v>
      </c>
      <c r="AL2" s="1167" t="s">
        <v>348</v>
      </c>
      <c r="AM2" s="1165" t="s">
        <v>364</v>
      </c>
      <c r="AN2" s="1165" t="s">
        <v>348</v>
      </c>
      <c r="AO2" s="1166" t="s">
        <v>364</v>
      </c>
      <c r="AP2" s="1165" t="s">
        <v>348</v>
      </c>
      <c r="AQ2" s="1166" t="s">
        <v>364</v>
      </c>
      <c r="AR2" s="1167" t="s">
        <v>348</v>
      </c>
      <c r="AS2" s="1165" t="s">
        <v>364</v>
      </c>
      <c r="AT2" s="1165" t="s">
        <v>348</v>
      </c>
      <c r="AU2" s="1166" t="s">
        <v>364</v>
      </c>
      <c r="AV2" s="1165" t="s">
        <v>348</v>
      </c>
      <c r="AW2" s="1166" t="s">
        <v>364</v>
      </c>
      <c r="AX2" s="1165" t="s">
        <v>348</v>
      </c>
      <c r="AY2" s="1166" t="s">
        <v>364</v>
      </c>
      <c r="AZ2" s="1165" t="s">
        <v>348</v>
      </c>
      <c r="BA2" s="1166" t="s">
        <v>364</v>
      </c>
    </row>
    <row r="3" spans="1:53">
      <c r="A3" s="1139" t="s">
        <v>313</v>
      </c>
      <c r="B3" s="1140"/>
      <c r="C3" s="1141"/>
      <c r="D3" s="1142"/>
      <c r="E3" s="1141"/>
      <c r="F3" s="1142"/>
      <c r="G3" s="1141"/>
      <c r="H3" s="1142"/>
      <c r="I3" s="1141"/>
      <c r="J3" s="1142"/>
      <c r="K3" s="1141"/>
      <c r="L3" s="1142"/>
      <c r="M3" s="1143"/>
      <c r="N3" s="1140"/>
      <c r="O3" s="1143"/>
      <c r="P3" s="1140"/>
      <c r="Q3" s="1143"/>
      <c r="R3" s="1140"/>
      <c r="S3" s="1143"/>
      <c r="T3" s="1140"/>
      <c r="U3" s="1143"/>
      <c r="V3" s="1140"/>
      <c r="W3" s="1143"/>
      <c r="X3" s="1140"/>
      <c r="Y3" s="1141"/>
      <c r="Z3" s="1142"/>
      <c r="AA3" s="1141"/>
      <c r="AB3" s="1142"/>
      <c r="AC3" s="1143"/>
      <c r="AD3" s="1140"/>
      <c r="AE3" s="1141"/>
      <c r="AF3" s="1142"/>
      <c r="AG3" s="1141"/>
      <c r="AH3" s="1142"/>
      <c r="AI3" s="1143"/>
      <c r="AJ3" s="1140"/>
      <c r="AK3" s="1141"/>
      <c r="AL3" s="1142"/>
      <c r="AM3" s="1141"/>
      <c r="AN3" s="1142"/>
      <c r="AO3" s="1141"/>
      <c r="AP3" s="1142"/>
      <c r="AQ3" s="1141"/>
      <c r="AR3" s="1142"/>
      <c r="AS3" s="1141"/>
      <c r="AT3" s="1142"/>
      <c r="AU3" s="1141"/>
      <c r="AV3" s="1142"/>
      <c r="AW3" s="1141"/>
      <c r="AX3" s="1142"/>
      <c r="AY3" s="1141"/>
      <c r="AZ3" s="1142"/>
      <c r="BA3" s="1143"/>
    </row>
    <row r="4" spans="1:53">
      <c r="A4" s="417" t="s">
        <v>314</v>
      </c>
      <c r="B4" s="1144"/>
      <c r="C4" s="1145"/>
      <c r="D4" s="1146"/>
      <c r="E4" s="1145"/>
      <c r="F4" s="1146"/>
      <c r="G4" s="1145"/>
      <c r="H4" s="1146"/>
      <c r="I4" s="1145"/>
      <c r="J4" s="1146"/>
      <c r="K4" s="1145"/>
      <c r="L4" s="1146"/>
      <c r="M4" s="1147"/>
      <c r="N4" s="1144"/>
      <c r="O4" s="1147"/>
      <c r="P4" s="1144"/>
      <c r="Q4" s="1147"/>
      <c r="R4" s="1144"/>
      <c r="S4" s="1147"/>
      <c r="T4" s="1144"/>
      <c r="U4" s="1147"/>
      <c r="V4" s="1144"/>
      <c r="W4" s="1147"/>
      <c r="X4" s="1144"/>
      <c r="Y4" s="1145"/>
      <c r="Z4" s="1146"/>
      <c r="AA4" s="1145"/>
      <c r="AB4" s="1146"/>
      <c r="AC4" s="1147"/>
      <c r="AD4" s="1144"/>
      <c r="AE4" s="1145"/>
      <c r="AF4" s="1146"/>
      <c r="AG4" s="1145"/>
      <c r="AH4" s="1146"/>
      <c r="AI4" s="1147"/>
      <c r="AJ4" s="1144"/>
      <c r="AK4" s="1145"/>
      <c r="AL4" s="1146"/>
      <c r="AM4" s="1145"/>
      <c r="AN4" s="1146"/>
      <c r="AO4" s="1145"/>
      <c r="AP4" s="1146"/>
      <c r="AQ4" s="1145"/>
      <c r="AR4" s="1146"/>
      <c r="AS4" s="1145"/>
      <c r="AT4" s="1146"/>
      <c r="AU4" s="1145"/>
      <c r="AV4" s="1146"/>
      <c r="AW4" s="1145"/>
      <c r="AX4" s="1146"/>
      <c r="AY4" s="1145"/>
      <c r="AZ4" s="1146"/>
      <c r="BA4" s="1147"/>
    </row>
    <row r="5" spans="1:53">
      <c r="A5" s="417" t="s">
        <v>374</v>
      </c>
      <c r="B5" s="1148">
        <v>19012080</v>
      </c>
      <c r="C5" s="1149">
        <v>19012080</v>
      </c>
      <c r="D5" s="1146">
        <v>14631092</v>
      </c>
      <c r="E5" s="1145">
        <v>14655990</v>
      </c>
      <c r="F5" s="1146">
        <v>20049000</v>
      </c>
      <c r="G5" s="1145">
        <v>20049000</v>
      </c>
      <c r="H5" s="1146">
        <v>1507090</v>
      </c>
      <c r="I5" s="1145">
        <v>1507090</v>
      </c>
      <c r="J5" s="1146">
        <v>25762010</v>
      </c>
      <c r="K5" s="1145">
        <v>29412010</v>
      </c>
      <c r="L5" s="1146">
        <v>9500000</v>
      </c>
      <c r="M5" s="1147">
        <f>L5</f>
        <v>9500000</v>
      </c>
      <c r="N5" s="1144">
        <v>3740619</v>
      </c>
      <c r="O5" s="1147">
        <v>3740619</v>
      </c>
      <c r="P5" s="1144">
        <v>3126209</v>
      </c>
      <c r="Q5" s="1147">
        <v>3126209</v>
      </c>
      <c r="R5" s="1144">
        <v>18500000</v>
      </c>
      <c r="S5" s="1147">
        <f>R5</f>
        <v>18500000</v>
      </c>
      <c r="T5" s="1144">
        <v>18878206</v>
      </c>
      <c r="U5" s="1147">
        <v>19358206</v>
      </c>
      <c r="V5" s="1144">
        <v>20174891</v>
      </c>
      <c r="W5" s="1147">
        <v>20191730</v>
      </c>
      <c r="X5" s="1144">
        <v>14358395</v>
      </c>
      <c r="Y5" s="1145">
        <v>14358730</v>
      </c>
      <c r="Z5" s="1146">
        <v>8000000</v>
      </c>
      <c r="AA5" s="1145">
        <f>Z5</f>
        <v>8000000</v>
      </c>
      <c r="AB5" s="1146">
        <v>6250000</v>
      </c>
      <c r="AC5" s="1147">
        <f>AB5</f>
        <v>6250000</v>
      </c>
      <c r="AD5" s="1144">
        <v>5102902</v>
      </c>
      <c r="AE5" s="1145">
        <f>AD5</f>
        <v>5102902</v>
      </c>
      <c r="AF5" s="1146">
        <v>19188129</v>
      </c>
      <c r="AG5" s="1145">
        <f>AF5</f>
        <v>19188129</v>
      </c>
      <c r="AH5" s="1146">
        <v>20128843</v>
      </c>
      <c r="AI5" s="1147">
        <f>AH5</f>
        <v>20128843</v>
      </c>
      <c r="AJ5" s="1144">
        <v>11963235</v>
      </c>
      <c r="AK5" s="1145">
        <f>AJ5</f>
        <v>11963235</v>
      </c>
      <c r="AL5" s="1146"/>
      <c r="AM5" s="1145"/>
      <c r="AN5" s="1146">
        <v>10000000</v>
      </c>
      <c r="AO5" s="1145">
        <v>10000400</v>
      </c>
      <c r="AP5" s="1146">
        <v>1753939</v>
      </c>
      <c r="AQ5" s="1145">
        <v>1757646</v>
      </c>
      <c r="AR5" s="1146">
        <v>2589641</v>
      </c>
      <c r="AS5" s="1145">
        <f>AR5</f>
        <v>2589641</v>
      </c>
      <c r="AT5" s="1146">
        <v>19535000</v>
      </c>
      <c r="AU5" s="1145">
        <f>AT5</f>
        <v>19535000</v>
      </c>
      <c r="AV5" s="1146">
        <f t="shared" ref="AV5:AV67" si="0">B5+D5+F5+H5+J5+L5+N5+P5+R5+T5+V5+X5+Z5+AB5+AD5+AF5+AH5+AJ5+AL5+AN5+AP5+AR5+AT5</f>
        <v>273751281</v>
      </c>
      <c r="AW5" s="1145">
        <f t="shared" ref="AW5:AW67" si="1">C5+E5+G5+I5+K5+M5+O5+Q5+S5+U5+W5+Y5+AA5+AC5+AE5+AG5+AI5+AK5+AM5+AO5+AQ5+AS5+AU5</f>
        <v>277927460</v>
      </c>
      <c r="AX5" s="1146">
        <v>1000000</v>
      </c>
      <c r="AY5" s="1145">
        <v>1000000</v>
      </c>
      <c r="AZ5" s="1146">
        <f>AV5+AX5</f>
        <v>274751281</v>
      </c>
      <c r="BA5" s="1147">
        <f>AW5+AY5</f>
        <v>278927460</v>
      </c>
    </row>
    <row r="6" spans="1:53">
      <c r="A6" s="417" t="s">
        <v>351</v>
      </c>
      <c r="B6" s="1148"/>
      <c r="C6" s="1149"/>
      <c r="D6" s="1146">
        <v>616349</v>
      </c>
      <c r="E6" s="1145"/>
      <c r="F6" s="1146"/>
      <c r="G6" s="1145"/>
      <c r="H6" s="1146"/>
      <c r="I6" s="1145"/>
      <c r="J6" s="1146"/>
      <c r="K6" s="1145"/>
      <c r="L6" s="1146"/>
      <c r="M6" s="1147"/>
      <c r="N6" s="1144"/>
      <c r="O6" s="1147"/>
      <c r="P6" s="1144"/>
      <c r="Q6" s="1147"/>
      <c r="R6" s="1144"/>
      <c r="S6" s="1147"/>
      <c r="T6" s="1144"/>
      <c r="U6" s="1147"/>
      <c r="V6" s="1144">
        <v>380</v>
      </c>
      <c r="W6" s="1147">
        <v>28558</v>
      </c>
      <c r="X6" s="1144"/>
      <c r="Y6" s="1145"/>
      <c r="Z6" s="1146"/>
      <c r="AA6" s="1145"/>
      <c r="AB6" s="1146"/>
      <c r="AC6" s="1147"/>
      <c r="AD6" s="1144"/>
      <c r="AE6" s="1145"/>
      <c r="AF6" s="1146"/>
      <c r="AG6" s="1145"/>
      <c r="AH6" s="1146"/>
      <c r="AI6" s="1147"/>
      <c r="AJ6" s="1144"/>
      <c r="AK6" s="1145"/>
      <c r="AL6" s="1146"/>
      <c r="AM6" s="1145"/>
      <c r="AN6" s="1146"/>
      <c r="AO6" s="1145"/>
      <c r="AP6" s="1146"/>
      <c r="AQ6" s="1145"/>
      <c r="AR6" s="1146"/>
      <c r="AS6" s="1145"/>
      <c r="AT6" s="1146"/>
      <c r="AU6" s="1145"/>
      <c r="AV6" s="1146">
        <f t="shared" si="0"/>
        <v>616729</v>
      </c>
      <c r="AW6" s="1145">
        <f t="shared" si="1"/>
        <v>28558</v>
      </c>
      <c r="AX6" s="1146"/>
      <c r="AY6" s="1145"/>
      <c r="AZ6" s="1146">
        <f t="shared" ref="AZ6:AZ67" si="2">AV6+AX6</f>
        <v>616729</v>
      </c>
      <c r="BA6" s="1147">
        <f t="shared" ref="BA6:BA67" si="3">AW6+AY6</f>
        <v>28558</v>
      </c>
    </row>
    <row r="7" spans="1:53">
      <c r="A7" s="417" t="s">
        <v>375</v>
      </c>
      <c r="B7" s="1148">
        <v>2682948</v>
      </c>
      <c r="C7" s="1149">
        <v>3159667</v>
      </c>
      <c r="D7" s="1146">
        <v>6466905</v>
      </c>
      <c r="E7" s="1145">
        <v>7674705</v>
      </c>
      <c r="F7" s="1146"/>
      <c r="G7" s="1145"/>
      <c r="H7" s="1146">
        <v>95013950</v>
      </c>
      <c r="I7" s="1145">
        <v>98993993</v>
      </c>
      <c r="J7" s="1146">
        <v>2122304</v>
      </c>
      <c r="K7" s="1145">
        <v>2121334</v>
      </c>
      <c r="L7" s="1146">
        <v>1565073</v>
      </c>
      <c r="M7" s="1147">
        <v>1862391</v>
      </c>
      <c r="N7" s="1144">
        <v>8329217</v>
      </c>
      <c r="O7" s="1147">
        <v>8329217</v>
      </c>
      <c r="P7" s="1144">
        <v>16848478</v>
      </c>
      <c r="Q7" s="1147">
        <v>16882622</v>
      </c>
      <c r="R7" s="1144"/>
      <c r="S7" s="1147"/>
      <c r="T7" s="1144"/>
      <c r="U7" s="1147"/>
      <c r="V7" s="1144">
        <v>40668676</v>
      </c>
      <c r="W7" s="1147">
        <v>54262792</v>
      </c>
      <c r="X7" s="1144">
        <v>57206464</v>
      </c>
      <c r="Y7" s="1145">
        <v>63864077</v>
      </c>
      <c r="Z7" s="1146">
        <v>246643</v>
      </c>
      <c r="AA7" s="1145">
        <v>1254401</v>
      </c>
      <c r="AB7" s="1146">
        <v>1400000</v>
      </c>
      <c r="AC7" s="1147">
        <v>2800000</v>
      </c>
      <c r="AD7" s="1144">
        <v>22724771</v>
      </c>
      <c r="AE7" s="1145">
        <v>28899284</v>
      </c>
      <c r="AF7" s="1146">
        <v>6805838</v>
      </c>
      <c r="AG7" s="1145">
        <v>8705457</v>
      </c>
      <c r="AH7" s="1146"/>
      <c r="AI7" s="1147">
        <v>44595</v>
      </c>
      <c r="AJ7" s="1144">
        <v>3031592</v>
      </c>
      <c r="AK7" s="1145">
        <f>AJ7</f>
        <v>3031592</v>
      </c>
      <c r="AL7" s="1146"/>
      <c r="AM7" s="1145"/>
      <c r="AN7" s="1146">
        <v>68320448</v>
      </c>
      <c r="AO7" s="1145">
        <v>82755731</v>
      </c>
      <c r="AP7" s="1146">
        <v>4435769</v>
      </c>
      <c r="AQ7" s="1145">
        <v>4751015</v>
      </c>
      <c r="AR7" s="1146">
        <v>3283341</v>
      </c>
      <c r="AS7" s="1145">
        <v>4042108</v>
      </c>
      <c r="AT7" s="1146">
        <v>616932</v>
      </c>
      <c r="AU7" s="1145">
        <v>978195</v>
      </c>
      <c r="AV7" s="1146">
        <f t="shared" si="0"/>
        <v>341769349</v>
      </c>
      <c r="AW7" s="1145">
        <f t="shared" si="1"/>
        <v>394413176</v>
      </c>
      <c r="AX7" s="1146">
        <v>5577557</v>
      </c>
      <c r="AY7" s="1145">
        <v>6247318</v>
      </c>
      <c r="AZ7" s="1146">
        <f t="shared" si="2"/>
        <v>347346906</v>
      </c>
      <c r="BA7" s="1147">
        <f t="shared" si="3"/>
        <v>400660494</v>
      </c>
    </row>
    <row r="8" spans="1:53">
      <c r="A8" s="417" t="s">
        <v>315</v>
      </c>
      <c r="B8" s="1148">
        <v>109586</v>
      </c>
      <c r="C8" s="1149">
        <v>32460</v>
      </c>
      <c r="D8" s="1146"/>
      <c r="E8" s="1145"/>
      <c r="F8" s="1146">
        <v>-8071</v>
      </c>
      <c r="G8" s="1145">
        <v>-1221</v>
      </c>
      <c r="H8" s="1146">
        <v>599520</v>
      </c>
      <c r="I8" s="1145">
        <v>699441</v>
      </c>
      <c r="J8" s="1146">
        <v>-17588</v>
      </c>
      <c r="K8" s="1145">
        <v>-38644</v>
      </c>
      <c r="L8" s="1146">
        <v>20521</v>
      </c>
      <c r="M8" s="1147">
        <v>45637</v>
      </c>
      <c r="N8" s="1144">
        <v>-719011</v>
      </c>
      <c r="O8" s="1147">
        <v>-167155</v>
      </c>
      <c r="P8" s="1144">
        <v>50581</v>
      </c>
      <c r="Q8" s="1147">
        <v>35099</v>
      </c>
      <c r="R8" s="1144">
        <v>11</v>
      </c>
      <c r="S8" s="1147"/>
      <c r="T8" s="1144">
        <v>39203</v>
      </c>
      <c r="U8" s="1147">
        <v>-6086</v>
      </c>
      <c r="V8" s="1144">
        <v>-26452</v>
      </c>
      <c r="W8" s="1147">
        <v>-552877</v>
      </c>
      <c r="X8" s="1144">
        <v>140688</v>
      </c>
      <c r="Y8" s="1145">
        <v>-339416</v>
      </c>
      <c r="Z8" s="1146">
        <v>-18605</v>
      </c>
      <c r="AA8" s="1145">
        <v>-72390</v>
      </c>
      <c r="AB8" s="1146">
        <v>6302</v>
      </c>
      <c r="AC8" s="1147">
        <v>17168</v>
      </c>
      <c r="AD8" s="1144"/>
      <c r="AE8" s="1145">
        <v>-2623</v>
      </c>
      <c r="AF8" s="1146">
        <v>-255072</v>
      </c>
      <c r="AG8" s="1145">
        <v>-79555</v>
      </c>
      <c r="AH8" s="1146">
        <v>-1406</v>
      </c>
      <c r="AI8" s="1147">
        <v>-20954</v>
      </c>
      <c r="AJ8" s="1144">
        <v>172728</v>
      </c>
      <c r="AK8" s="1145">
        <v>-305640</v>
      </c>
      <c r="AL8" s="1146"/>
      <c r="AM8" s="1145"/>
      <c r="AN8" s="1146">
        <v>1093649</v>
      </c>
      <c r="AO8" s="1145">
        <v>361133</v>
      </c>
      <c r="AP8" s="1146">
        <v>14418</v>
      </c>
      <c r="AQ8" s="1145">
        <v>-63739</v>
      </c>
      <c r="AR8" s="1146">
        <v>2959</v>
      </c>
      <c r="AS8" s="1145">
        <v>17539</v>
      </c>
      <c r="AT8" s="1146"/>
      <c r="AU8" s="1145"/>
      <c r="AV8" s="1146">
        <f t="shared" si="0"/>
        <v>1203961</v>
      </c>
      <c r="AW8" s="1145">
        <f t="shared" si="1"/>
        <v>-441823</v>
      </c>
      <c r="AX8" s="1146">
        <v>266618</v>
      </c>
      <c r="AY8" s="1145">
        <v>249515</v>
      </c>
      <c r="AZ8" s="1146">
        <f t="shared" si="2"/>
        <v>1470579</v>
      </c>
      <c r="BA8" s="1147">
        <f t="shared" si="3"/>
        <v>-192308</v>
      </c>
    </row>
    <row r="9" spans="1:53">
      <c r="A9" s="417" t="s">
        <v>373</v>
      </c>
      <c r="B9" s="1148"/>
      <c r="C9" s="1149"/>
      <c r="D9" s="1146"/>
      <c r="E9" s="1145"/>
      <c r="F9" s="1146"/>
      <c r="G9" s="1145"/>
      <c r="H9" s="1146"/>
      <c r="I9" s="1145"/>
      <c r="J9" s="1146"/>
      <c r="K9" s="1145"/>
      <c r="L9" s="1146"/>
      <c r="M9" s="1147"/>
      <c r="N9" s="1144"/>
      <c r="O9" s="1147"/>
      <c r="P9" s="1144"/>
      <c r="Q9" s="1147"/>
      <c r="R9" s="1144"/>
      <c r="S9" s="1147"/>
      <c r="T9" s="1144"/>
      <c r="U9" s="1147"/>
      <c r="V9" s="1144"/>
      <c r="W9" s="1147"/>
      <c r="X9" s="1144"/>
      <c r="Y9" s="1145">
        <v>17</v>
      </c>
      <c r="Z9" s="1146"/>
      <c r="AA9" s="1150"/>
      <c r="AB9" s="1146"/>
      <c r="AC9" s="1147"/>
      <c r="AD9" s="1144"/>
      <c r="AE9" s="1145"/>
      <c r="AF9" s="1146"/>
      <c r="AG9" s="1145"/>
      <c r="AH9" s="1146"/>
      <c r="AI9" s="1147"/>
      <c r="AJ9" s="1144"/>
      <c r="AK9" s="1145"/>
      <c r="AL9" s="1146"/>
      <c r="AM9" s="1145"/>
      <c r="AN9" s="1146"/>
      <c r="AO9" s="1145"/>
      <c r="AP9" s="1146"/>
      <c r="AQ9" s="1145"/>
      <c r="AR9" s="1146"/>
      <c r="AS9" s="1145"/>
      <c r="AT9" s="1146"/>
      <c r="AU9" s="1145"/>
      <c r="AV9" s="1146"/>
      <c r="AW9" s="1145"/>
      <c r="AX9" s="1146"/>
      <c r="AY9" s="1145"/>
      <c r="AZ9" s="1146"/>
      <c r="BA9" s="1147"/>
    </row>
    <row r="10" spans="1:53" s="81" customFormat="1">
      <c r="A10" s="1151" t="s">
        <v>316</v>
      </c>
      <c r="B10" s="1152">
        <f t="shared" ref="B10:O10" si="4">SUM(B5:B8)</f>
        <v>21804614</v>
      </c>
      <c r="C10" s="1153">
        <f t="shared" si="4"/>
        <v>22204207</v>
      </c>
      <c r="D10" s="1154">
        <f t="shared" si="4"/>
        <v>21714346</v>
      </c>
      <c r="E10" s="1153">
        <f t="shared" si="4"/>
        <v>22330695</v>
      </c>
      <c r="F10" s="1154">
        <f t="shared" si="4"/>
        <v>20040929</v>
      </c>
      <c r="G10" s="1153">
        <f t="shared" si="4"/>
        <v>20047779</v>
      </c>
      <c r="H10" s="1154">
        <f t="shared" si="4"/>
        <v>97120560</v>
      </c>
      <c r="I10" s="1153">
        <f t="shared" si="4"/>
        <v>101200524</v>
      </c>
      <c r="J10" s="1154">
        <f t="shared" si="4"/>
        <v>27866726</v>
      </c>
      <c r="K10" s="1153">
        <f t="shared" si="4"/>
        <v>31494700</v>
      </c>
      <c r="L10" s="1154">
        <f t="shared" si="4"/>
        <v>11085594</v>
      </c>
      <c r="M10" s="1155">
        <f t="shared" si="4"/>
        <v>11408028</v>
      </c>
      <c r="N10" s="1152">
        <f t="shared" si="4"/>
        <v>11350825</v>
      </c>
      <c r="O10" s="1155">
        <f t="shared" si="4"/>
        <v>11902681</v>
      </c>
      <c r="P10" s="1152">
        <f t="shared" ref="P10:X10" si="5">SUM(P5:P8)</f>
        <v>20025268</v>
      </c>
      <c r="Q10" s="1155">
        <f t="shared" si="5"/>
        <v>20043930</v>
      </c>
      <c r="R10" s="1152">
        <f t="shared" si="5"/>
        <v>18500011</v>
      </c>
      <c r="S10" s="1155">
        <f t="shared" si="5"/>
        <v>18500000</v>
      </c>
      <c r="T10" s="1152">
        <f t="shared" si="5"/>
        <v>18917409</v>
      </c>
      <c r="U10" s="1155">
        <f t="shared" si="5"/>
        <v>19352120</v>
      </c>
      <c r="V10" s="1152">
        <f t="shared" si="5"/>
        <v>60817495</v>
      </c>
      <c r="W10" s="1155">
        <f t="shared" si="5"/>
        <v>73930203</v>
      </c>
      <c r="X10" s="1152">
        <f t="shared" si="5"/>
        <v>71705547</v>
      </c>
      <c r="Y10" s="1153">
        <f>SUM(Y5:Y9)</f>
        <v>77883408</v>
      </c>
      <c r="Z10" s="1156">
        <v>8228038</v>
      </c>
      <c r="AA10" s="1156">
        <v>9182011</v>
      </c>
      <c r="AB10" s="1156">
        <v>7656302</v>
      </c>
      <c r="AC10" s="1157">
        <v>9451784</v>
      </c>
      <c r="AD10" s="1158">
        <v>27827673</v>
      </c>
      <c r="AE10" s="1159">
        <v>33999563</v>
      </c>
      <c r="AF10" s="1156">
        <v>25198940</v>
      </c>
      <c r="AG10" s="1159">
        <v>27814031</v>
      </c>
      <c r="AH10" s="1156">
        <v>20127437</v>
      </c>
      <c r="AI10" s="1157">
        <v>20152484</v>
      </c>
      <c r="AJ10" s="1158">
        <v>15167555</v>
      </c>
      <c r="AK10" s="1159">
        <v>14689187</v>
      </c>
      <c r="AL10" s="1156"/>
      <c r="AM10" s="1159">
        <f>SUM(AM5:AM8)</f>
        <v>0</v>
      </c>
      <c r="AN10" s="1156">
        <f>SUM(AN5:AN8)</f>
        <v>79414097</v>
      </c>
      <c r="AO10" s="1159">
        <f>SUM(AO5:AO8)</f>
        <v>93117264</v>
      </c>
      <c r="AP10" s="1156">
        <f t="shared" ref="AP10:AU10" si="6">SUM(AP5:AP8)</f>
        <v>6204126</v>
      </c>
      <c r="AQ10" s="1159">
        <f t="shared" si="6"/>
        <v>6444922</v>
      </c>
      <c r="AR10" s="1156">
        <f t="shared" si="6"/>
        <v>5875941</v>
      </c>
      <c r="AS10" s="1159">
        <f t="shared" si="6"/>
        <v>6649288</v>
      </c>
      <c r="AT10" s="1156">
        <f t="shared" si="6"/>
        <v>20151932</v>
      </c>
      <c r="AU10" s="1159">
        <f t="shared" si="6"/>
        <v>20513195</v>
      </c>
      <c r="AV10" s="1146">
        <f t="shared" si="0"/>
        <v>616801365</v>
      </c>
      <c r="AW10" s="1145">
        <f t="shared" si="1"/>
        <v>672312004</v>
      </c>
      <c r="AX10" s="1156">
        <f>SUM(AX5:AX8)</f>
        <v>6844175</v>
      </c>
      <c r="AY10" s="1159">
        <f>SUM(AY5:AY8)</f>
        <v>7496833</v>
      </c>
      <c r="AZ10" s="1146">
        <f t="shared" si="2"/>
        <v>623645540</v>
      </c>
      <c r="BA10" s="1147">
        <f t="shared" si="3"/>
        <v>679808837</v>
      </c>
    </row>
    <row r="11" spans="1:53">
      <c r="A11" s="417" t="s">
        <v>376</v>
      </c>
      <c r="B11" s="1148"/>
      <c r="C11" s="1149"/>
      <c r="D11" s="1146">
        <v>700000</v>
      </c>
      <c r="E11" s="1145">
        <v>700000</v>
      </c>
      <c r="F11" s="1146"/>
      <c r="G11" s="1145"/>
      <c r="H11" s="1146"/>
      <c r="I11" s="1145"/>
      <c r="J11" s="1146"/>
      <c r="K11" s="1145">
        <v>600000</v>
      </c>
      <c r="L11" s="1146"/>
      <c r="M11" s="1147"/>
      <c r="N11" s="1144"/>
      <c r="O11" s="1147"/>
      <c r="P11" s="1144"/>
      <c r="Q11" s="1147"/>
      <c r="R11" s="1144"/>
      <c r="S11" s="1147"/>
      <c r="T11" s="1144"/>
      <c r="U11" s="1147"/>
      <c r="V11" s="1144"/>
      <c r="W11" s="1147"/>
      <c r="X11" s="1144"/>
      <c r="Y11" s="1145"/>
      <c r="Z11" s="1146"/>
      <c r="AA11" s="1145"/>
      <c r="AB11" s="1146">
        <v>1000000</v>
      </c>
      <c r="AC11" s="1147">
        <v>1000000</v>
      </c>
      <c r="AD11" s="1144"/>
      <c r="AE11" s="1145"/>
      <c r="AF11" s="1146"/>
      <c r="AG11" s="1145"/>
      <c r="AH11" s="1146">
        <v>47179</v>
      </c>
      <c r="AI11" s="1147"/>
      <c r="AJ11" s="1144"/>
      <c r="AK11" s="1145"/>
      <c r="AL11" s="1146"/>
      <c r="AM11" s="1145"/>
      <c r="AN11" s="1146"/>
      <c r="AO11" s="1145"/>
      <c r="AP11" s="1146"/>
      <c r="AQ11" s="1145"/>
      <c r="AR11" s="1146"/>
      <c r="AS11" s="1145"/>
      <c r="AT11" s="1146"/>
      <c r="AU11" s="1145"/>
      <c r="AV11" s="1146">
        <f t="shared" si="0"/>
        <v>1747179</v>
      </c>
      <c r="AW11" s="1145">
        <f t="shared" si="1"/>
        <v>2300000</v>
      </c>
      <c r="AX11" s="1146"/>
      <c r="AY11" s="1145"/>
      <c r="AZ11" s="1146">
        <f t="shared" si="2"/>
        <v>1747179</v>
      </c>
      <c r="BA11" s="1147">
        <f t="shared" si="3"/>
        <v>2300000</v>
      </c>
    </row>
    <row r="12" spans="1:53">
      <c r="A12" s="1151" t="s">
        <v>317</v>
      </c>
      <c r="B12" s="1148"/>
      <c r="C12" s="1149"/>
      <c r="D12" s="1146"/>
      <c r="E12" s="1145"/>
      <c r="F12" s="1146"/>
      <c r="G12" s="1145"/>
      <c r="H12" s="1146"/>
      <c r="I12" s="1145"/>
      <c r="J12" s="1146"/>
      <c r="K12" s="1145"/>
      <c r="L12" s="1146"/>
      <c r="M12" s="1147"/>
      <c r="N12" s="1144"/>
      <c r="O12" s="1147"/>
      <c r="P12" s="1144"/>
      <c r="Q12" s="1147"/>
      <c r="R12" s="1144"/>
      <c r="S12" s="1147"/>
      <c r="T12" s="1144"/>
      <c r="U12" s="1147"/>
      <c r="V12" s="1144"/>
      <c r="W12" s="1147"/>
      <c r="X12" s="1144"/>
      <c r="Y12" s="1145"/>
      <c r="Z12" s="1146"/>
      <c r="AA12" s="1145"/>
      <c r="AB12" s="1146"/>
      <c r="AC12" s="1147"/>
      <c r="AD12" s="1144"/>
      <c r="AE12" s="1145"/>
      <c r="AF12" s="1146"/>
      <c r="AG12" s="1145"/>
      <c r="AH12" s="1146"/>
      <c r="AI12" s="1147"/>
      <c r="AJ12" s="1144"/>
      <c r="AK12" s="1145"/>
      <c r="AL12" s="1146"/>
      <c r="AM12" s="1145"/>
      <c r="AN12" s="1146"/>
      <c r="AO12" s="1145"/>
      <c r="AP12" s="1146"/>
      <c r="AQ12" s="1145"/>
      <c r="AR12" s="1146"/>
      <c r="AS12" s="1145"/>
      <c r="AT12" s="1146"/>
      <c r="AU12" s="1145"/>
      <c r="AV12" s="1146">
        <f t="shared" si="0"/>
        <v>0</v>
      </c>
      <c r="AW12" s="1145">
        <f t="shared" si="1"/>
        <v>0</v>
      </c>
      <c r="AX12" s="1146"/>
      <c r="AY12" s="1145"/>
      <c r="AZ12" s="1146">
        <f t="shared" si="2"/>
        <v>0</v>
      </c>
      <c r="BA12" s="1147">
        <f t="shared" si="3"/>
        <v>0</v>
      </c>
    </row>
    <row r="13" spans="1:53">
      <c r="A13" s="417" t="s">
        <v>315</v>
      </c>
      <c r="B13" s="1148">
        <v>830775</v>
      </c>
      <c r="C13" s="1149">
        <v>1099566</v>
      </c>
      <c r="D13" s="1146">
        <v>10390</v>
      </c>
      <c r="E13" s="1145">
        <v>-37877</v>
      </c>
      <c r="F13" s="1146">
        <v>-61948</v>
      </c>
      <c r="G13" s="1145">
        <v>-5059</v>
      </c>
      <c r="H13" s="1146">
        <v>9196213</v>
      </c>
      <c r="I13" s="1145">
        <v>6546032</v>
      </c>
      <c r="J13" s="1146"/>
      <c r="K13" s="1145">
        <v>232752</v>
      </c>
      <c r="L13" s="1146">
        <v>-25323</v>
      </c>
      <c r="M13" s="1147">
        <v>83939</v>
      </c>
      <c r="N13" s="1144">
        <v>934</v>
      </c>
      <c r="O13" s="1147">
        <v>17192</v>
      </c>
      <c r="P13" s="1144">
        <v>10156</v>
      </c>
      <c r="Q13" s="1147">
        <v>193829</v>
      </c>
      <c r="R13" s="1144">
        <v>256277</v>
      </c>
      <c r="S13" s="1147">
        <v>-446991</v>
      </c>
      <c r="T13" s="1144">
        <v>83755</v>
      </c>
      <c r="U13" s="1147">
        <v>-43767</v>
      </c>
      <c r="V13" s="1144">
        <v>10295735</v>
      </c>
      <c r="W13" s="1147">
        <v>8104906</v>
      </c>
      <c r="X13" s="1144">
        <v>18640267</v>
      </c>
      <c r="Y13" s="1145">
        <v>11412385</v>
      </c>
      <c r="Z13" s="1146">
        <v>-129249</v>
      </c>
      <c r="AA13" s="1145">
        <v>-476867</v>
      </c>
      <c r="AB13" s="1146">
        <v>55338</v>
      </c>
      <c r="AC13" s="1147">
        <v>20991</v>
      </c>
      <c r="AD13" s="1144">
        <v>2196479</v>
      </c>
      <c r="AE13" s="1145">
        <v>415288</v>
      </c>
      <c r="AF13" s="1146">
        <v>5256043</v>
      </c>
      <c r="AG13" s="1145">
        <v>1647495</v>
      </c>
      <c r="AH13" s="1146">
        <v>-20376</v>
      </c>
      <c r="AI13" s="1147">
        <v>489483</v>
      </c>
      <c r="AJ13" s="1144">
        <v>653800</v>
      </c>
      <c r="AK13" s="1145">
        <v>-2081801</v>
      </c>
      <c r="AL13" s="1146"/>
      <c r="AM13" s="1145"/>
      <c r="AN13" s="1146">
        <v>9488151</v>
      </c>
      <c r="AO13" s="1145">
        <v>-1423700</v>
      </c>
      <c r="AP13" s="1146">
        <v>162752</v>
      </c>
      <c r="AQ13" s="1145">
        <v>-49916</v>
      </c>
      <c r="AR13" s="1146">
        <v>16876</v>
      </c>
      <c r="AS13" s="1145">
        <v>156724</v>
      </c>
      <c r="AT13" s="1146">
        <v>7428363</v>
      </c>
      <c r="AU13" s="1145">
        <v>6311598</v>
      </c>
      <c r="AV13" s="1146">
        <f t="shared" si="0"/>
        <v>64345408</v>
      </c>
      <c r="AW13" s="1145">
        <f t="shared" si="1"/>
        <v>32166202</v>
      </c>
      <c r="AX13" s="1146">
        <v>2089100119</v>
      </c>
      <c r="AY13" s="1145">
        <v>788288376</v>
      </c>
      <c r="AZ13" s="1146">
        <f t="shared" si="2"/>
        <v>2153445527</v>
      </c>
      <c r="BA13" s="1147">
        <f t="shared" si="3"/>
        <v>820454578</v>
      </c>
    </row>
    <row r="14" spans="1:53">
      <c r="A14" s="417" t="s">
        <v>356</v>
      </c>
      <c r="B14" s="1148"/>
      <c r="C14" s="1149"/>
      <c r="D14" s="1146"/>
      <c r="E14" s="1145"/>
      <c r="F14" s="1146"/>
      <c r="G14" s="1145"/>
      <c r="H14" s="1146"/>
      <c r="I14" s="1145"/>
      <c r="J14" s="1146"/>
      <c r="K14" s="1145"/>
      <c r="L14" s="1146"/>
      <c r="M14" s="1147"/>
      <c r="N14" s="1144"/>
      <c r="O14" s="1147"/>
      <c r="P14" s="1144"/>
      <c r="Q14" s="1147"/>
      <c r="R14" s="1144"/>
      <c r="S14" s="1147"/>
      <c r="T14" s="1144"/>
      <c r="U14" s="1147"/>
      <c r="V14" s="1144"/>
      <c r="W14" s="1147"/>
      <c r="X14" s="1144"/>
      <c r="Y14" s="1145"/>
      <c r="Z14" s="1146"/>
      <c r="AA14" s="1145"/>
      <c r="AB14" s="1146"/>
      <c r="AC14" s="1147"/>
      <c r="AD14" s="1144">
        <v>343721</v>
      </c>
      <c r="AE14" s="1145">
        <v>433139</v>
      </c>
      <c r="AF14" s="1146">
        <v>22248</v>
      </c>
      <c r="AG14" s="1145">
        <v>22248</v>
      </c>
      <c r="AH14" s="1146"/>
      <c r="AI14" s="1147"/>
      <c r="AJ14" s="1144"/>
      <c r="AK14" s="1145"/>
      <c r="AL14" s="1146"/>
      <c r="AM14" s="1145"/>
      <c r="AN14" s="1146"/>
      <c r="AO14" s="1145"/>
      <c r="AP14" s="1146"/>
      <c r="AQ14" s="1145"/>
      <c r="AR14" s="1146"/>
      <c r="AS14" s="1145"/>
      <c r="AT14" s="1146"/>
      <c r="AU14" s="1145"/>
      <c r="AV14" s="1146">
        <f t="shared" si="0"/>
        <v>365969</v>
      </c>
      <c r="AW14" s="1145">
        <f t="shared" si="1"/>
        <v>455387</v>
      </c>
      <c r="AX14" s="1146"/>
      <c r="AY14" s="1145"/>
      <c r="AZ14" s="1146">
        <f t="shared" si="2"/>
        <v>365969</v>
      </c>
      <c r="BA14" s="1147">
        <f t="shared" si="3"/>
        <v>455387</v>
      </c>
    </row>
    <row r="15" spans="1:53">
      <c r="A15" s="417" t="s">
        <v>318</v>
      </c>
      <c r="B15" s="1148">
        <v>143233245</v>
      </c>
      <c r="C15" s="1149">
        <v>181308073</v>
      </c>
      <c r="D15" s="1146">
        <v>12814963</v>
      </c>
      <c r="E15" s="1145">
        <v>15659654</v>
      </c>
      <c r="F15" s="1146"/>
      <c r="G15" s="1145"/>
      <c r="H15" s="1146"/>
      <c r="I15" s="1145"/>
      <c r="J15" s="1146"/>
      <c r="K15" s="1145">
        <v>61037101414</v>
      </c>
      <c r="L15" s="1146"/>
      <c r="M15" s="1147"/>
      <c r="N15" s="1144">
        <v>33537577</v>
      </c>
      <c r="O15" s="1147">
        <v>39333230</v>
      </c>
      <c r="P15" s="1144">
        <v>15658502</v>
      </c>
      <c r="Q15" s="1147">
        <v>20718815</v>
      </c>
      <c r="R15" s="1144">
        <f>69705542+27887+25978291+914815+8540945+9498003</f>
        <v>114665483</v>
      </c>
      <c r="S15" s="1147">
        <f>79738876+121650+31420019+1492553+882665+10081687</f>
        <v>123737450</v>
      </c>
      <c r="T15" s="1144">
        <v>30689767</v>
      </c>
      <c r="U15" s="1147">
        <v>35625579</v>
      </c>
      <c r="V15" s="1144">
        <v>567992406</v>
      </c>
      <c r="W15" s="1147">
        <v>684172166</v>
      </c>
      <c r="X15" s="1144"/>
      <c r="Y15" s="1145"/>
      <c r="Z15" s="1146">
        <v>57176933</v>
      </c>
      <c r="AA15" s="1145">
        <v>67163575</v>
      </c>
      <c r="AB15" s="1146">
        <v>96847398</v>
      </c>
      <c r="AC15" s="1147">
        <v>102056010</v>
      </c>
      <c r="AD15" s="1144">
        <v>139167333</v>
      </c>
      <c r="AE15" s="1145">
        <v>181728689</v>
      </c>
      <c r="AF15" s="1146">
        <v>394748126</v>
      </c>
      <c r="AG15" s="1145">
        <v>474446168</v>
      </c>
      <c r="AH15" s="1146">
        <v>131158170</v>
      </c>
      <c r="AI15" s="1147">
        <v>162117395</v>
      </c>
      <c r="AJ15" s="1144">
        <v>130453759</v>
      </c>
      <c r="AK15" s="1145">
        <v>152247729</v>
      </c>
      <c r="AL15" s="1146"/>
      <c r="AM15" s="1145"/>
      <c r="AN15" s="1146">
        <v>672219280</v>
      </c>
      <c r="AO15" s="1145">
        <v>785121489</v>
      </c>
      <c r="AP15" s="1146">
        <v>33436454</v>
      </c>
      <c r="AQ15" s="1145">
        <v>42401155</v>
      </c>
      <c r="AR15" s="1146">
        <v>53388319</v>
      </c>
      <c r="AS15" s="1145">
        <v>69597457</v>
      </c>
      <c r="AT15" s="1146">
        <v>165588503</v>
      </c>
      <c r="AU15" s="1145">
        <v>208486736</v>
      </c>
      <c r="AV15" s="1146">
        <f t="shared" si="0"/>
        <v>2792776218</v>
      </c>
      <c r="AW15" s="1145">
        <f t="shared" si="1"/>
        <v>64383022784</v>
      </c>
      <c r="AX15" s="1146"/>
      <c r="AY15" s="1145"/>
      <c r="AZ15" s="1146">
        <f t="shared" si="2"/>
        <v>2792776218</v>
      </c>
      <c r="BA15" s="1147">
        <f t="shared" si="3"/>
        <v>64383022784</v>
      </c>
    </row>
    <row r="16" spans="1:53">
      <c r="A16" s="417" t="s">
        <v>352</v>
      </c>
      <c r="B16" s="1148"/>
      <c r="C16" s="1149"/>
      <c r="D16" s="1146"/>
      <c r="E16" s="1145"/>
      <c r="F16" s="1146">
        <v>109308</v>
      </c>
      <c r="G16" s="1145"/>
      <c r="H16" s="1146"/>
      <c r="I16" s="1145"/>
      <c r="J16" s="1146"/>
      <c r="K16" s="1145"/>
      <c r="L16" s="1146">
        <v>213236</v>
      </c>
      <c r="M16" s="1147"/>
      <c r="N16" s="1144"/>
      <c r="O16" s="1147"/>
      <c r="P16" s="1144"/>
      <c r="Q16" s="1147"/>
      <c r="R16" s="1144"/>
      <c r="S16" s="1147"/>
      <c r="T16" s="1144">
        <v>149903</v>
      </c>
      <c r="U16" s="1147"/>
      <c r="V16" s="1144"/>
      <c r="W16" s="1147"/>
      <c r="X16" s="1144"/>
      <c r="Y16" s="1145"/>
      <c r="Z16" s="1146"/>
      <c r="AA16" s="1145"/>
      <c r="AB16" s="1146"/>
      <c r="AC16" s="1147"/>
      <c r="AD16" s="1144"/>
      <c r="AE16" s="1145"/>
      <c r="AF16" s="1146">
        <v>822493</v>
      </c>
      <c r="AG16" s="1145"/>
      <c r="AH16" s="1146"/>
      <c r="AI16" s="1147"/>
      <c r="AJ16" s="1144"/>
      <c r="AK16" s="1145"/>
      <c r="AL16" s="1146"/>
      <c r="AM16" s="1145"/>
      <c r="AN16" s="1146"/>
      <c r="AO16" s="1145"/>
      <c r="AP16" s="1146"/>
      <c r="AQ16" s="1145"/>
      <c r="AR16" s="1146"/>
      <c r="AS16" s="1145"/>
      <c r="AT16" s="1146"/>
      <c r="AU16" s="1145"/>
      <c r="AV16" s="1146">
        <f t="shared" si="0"/>
        <v>1294940</v>
      </c>
      <c r="AW16" s="1145">
        <f t="shared" si="1"/>
        <v>0</v>
      </c>
      <c r="AX16" s="1146"/>
      <c r="AY16" s="1145"/>
      <c r="AZ16" s="1146">
        <f t="shared" si="2"/>
        <v>1294940</v>
      </c>
      <c r="BA16" s="1147">
        <f t="shared" si="3"/>
        <v>0</v>
      </c>
    </row>
    <row r="17" spans="1:53">
      <c r="A17" s="1151" t="s">
        <v>318</v>
      </c>
      <c r="B17" s="1148"/>
      <c r="C17" s="1149"/>
      <c r="D17" s="1146"/>
      <c r="E17" s="1145"/>
      <c r="F17" s="1146"/>
      <c r="G17" s="1145"/>
      <c r="H17" s="1146"/>
      <c r="I17" s="1145"/>
      <c r="J17" s="1146"/>
      <c r="K17" s="1145"/>
      <c r="L17" s="1146"/>
      <c r="M17" s="1147"/>
      <c r="N17" s="1144"/>
      <c r="O17" s="1147"/>
      <c r="P17" s="1144"/>
      <c r="Q17" s="1147"/>
      <c r="R17" s="1144"/>
      <c r="S17" s="1147"/>
      <c r="T17" s="1144"/>
      <c r="U17" s="1147"/>
      <c r="V17" s="1144"/>
      <c r="W17" s="1147"/>
      <c r="X17" s="1144"/>
      <c r="Y17" s="1145"/>
      <c r="Z17" s="1146"/>
      <c r="AA17" s="1145"/>
      <c r="AB17" s="1146"/>
      <c r="AC17" s="1147"/>
      <c r="AD17" s="1144"/>
      <c r="AE17" s="1145"/>
      <c r="AF17" s="1146"/>
      <c r="AG17" s="1145"/>
      <c r="AH17" s="1146"/>
      <c r="AI17" s="1147"/>
      <c r="AJ17" s="1144"/>
      <c r="AK17" s="1145"/>
      <c r="AL17" s="1146"/>
      <c r="AM17" s="1145"/>
      <c r="AN17" s="1146"/>
      <c r="AO17" s="1145"/>
      <c r="AP17" s="1146"/>
      <c r="AQ17" s="1145"/>
      <c r="AR17" s="1146"/>
      <c r="AS17" s="1145"/>
      <c r="AT17" s="1146"/>
      <c r="AU17" s="1145"/>
      <c r="AV17" s="1146">
        <f t="shared" si="0"/>
        <v>0</v>
      </c>
      <c r="AW17" s="1145">
        <f t="shared" si="1"/>
        <v>0</v>
      </c>
      <c r="AX17" s="1146">
        <v>28736247474</v>
      </c>
      <c r="AY17" s="1145">
        <v>31538534476</v>
      </c>
      <c r="AZ17" s="1146">
        <f t="shared" si="2"/>
        <v>28736247474</v>
      </c>
      <c r="BA17" s="1147">
        <f t="shared" si="3"/>
        <v>31538534476</v>
      </c>
    </row>
    <row r="18" spans="1:53">
      <c r="A18" s="417" t="s">
        <v>244</v>
      </c>
      <c r="B18" s="1148"/>
      <c r="C18" s="1149"/>
      <c r="D18" s="1146"/>
      <c r="E18" s="1145"/>
      <c r="F18" s="1146">
        <f>304333+15716+3</f>
        <v>320052</v>
      </c>
      <c r="G18" s="1145">
        <f>263224+13051+3</f>
        <v>276278</v>
      </c>
      <c r="H18" s="1146"/>
      <c r="I18" s="1145"/>
      <c r="J18" s="1146"/>
      <c r="K18" s="1145">
        <v>10280659</v>
      </c>
      <c r="L18" s="1146">
        <f>853965+11937</f>
        <v>865902</v>
      </c>
      <c r="M18" s="1147">
        <f>853965+11937</f>
        <v>865902</v>
      </c>
      <c r="N18" s="1144"/>
      <c r="O18" s="1147"/>
      <c r="P18" s="1144"/>
      <c r="Q18" s="1147"/>
      <c r="R18" s="1144"/>
      <c r="S18" s="1147"/>
      <c r="T18" s="1144"/>
      <c r="U18" s="1147"/>
      <c r="V18" s="1144"/>
      <c r="W18" s="1147"/>
      <c r="X18" s="1144">
        <v>1527289162</v>
      </c>
      <c r="Y18" s="1145">
        <v>1010187882</v>
      </c>
      <c r="Z18" s="1146"/>
      <c r="AA18" s="1145"/>
      <c r="AB18" s="1146"/>
      <c r="AC18" s="1147"/>
      <c r="AD18" s="1144"/>
      <c r="AE18" s="1145"/>
      <c r="AF18" s="1146"/>
      <c r="AG18" s="1145"/>
      <c r="AH18" s="1146"/>
      <c r="AI18" s="1147"/>
      <c r="AJ18" s="1144"/>
      <c r="AK18" s="1145"/>
      <c r="AL18" s="1146"/>
      <c r="AM18" s="1145"/>
      <c r="AN18" s="1146"/>
      <c r="AO18" s="1145"/>
      <c r="AP18" s="1146"/>
      <c r="AQ18" s="1145"/>
      <c r="AR18" s="1146"/>
      <c r="AS18" s="1145"/>
      <c r="AT18" s="1146"/>
      <c r="AU18" s="1145"/>
      <c r="AV18" s="1146">
        <f t="shared" si="0"/>
        <v>1528475116</v>
      </c>
      <c r="AW18" s="1145">
        <f t="shared" si="1"/>
        <v>1021610721</v>
      </c>
      <c r="AX18" s="1146"/>
      <c r="AY18" s="1145"/>
      <c r="AZ18" s="1146">
        <f t="shared" si="2"/>
        <v>1528475116</v>
      </c>
      <c r="BA18" s="1147">
        <f t="shared" si="3"/>
        <v>1021610721</v>
      </c>
    </row>
    <row r="19" spans="1:53">
      <c r="A19" s="417" t="s">
        <v>327</v>
      </c>
      <c r="B19" s="1148"/>
      <c r="C19" s="1149"/>
      <c r="D19" s="1146"/>
      <c r="E19" s="1145"/>
      <c r="F19" s="1146">
        <f>153605+12937+46951615+1591772+486904+556822+418828+162562+101576</f>
        <v>50436621</v>
      </c>
      <c r="G19" s="1145">
        <f>205200+12138+55159028+1662398+486425+912572+492208+142300+116714</f>
        <v>59188983</v>
      </c>
      <c r="H19" s="1146"/>
      <c r="I19" s="1145"/>
      <c r="J19" s="1146"/>
      <c r="K19" s="1145"/>
      <c r="L19" s="1146">
        <f>5116825+25476077+881345+2235942+13780758+1267740+10996</f>
        <v>48769683</v>
      </c>
      <c r="M19" s="1147">
        <f>49635585-M18</f>
        <v>48769683</v>
      </c>
      <c r="N19" s="1144"/>
      <c r="O19" s="1147"/>
      <c r="P19" s="1144"/>
      <c r="Q19" s="1147"/>
      <c r="R19" s="1144"/>
      <c r="S19" s="1147"/>
      <c r="T19" s="1144"/>
      <c r="U19" s="1147"/>
      <c r="V19" s="1144"/>
      <c r="W19" s="1147"/>
      <c r="X19" s="1144">
        <v>401708443</v>
      </c>
      <c r="Y19" s="1145"/>
      <c r="Z19" s="1146"/>
      <c r="AA19" s="1145"/>
      <c r="AB19" s="1146"/>
      <c r="AC19" s="1147"/>
      <c r="AD19" s="1144"/>
      <c r="AE19" s="1145"/>
      <c r="AF19" s="1146"/>
      <c r="AG19" s="1145"/>
      <c r="AH19" s="1146"/>
      <c r="AI19" s="1147"/>
      <c r="AJ19" s="1144"/>
      <c r="AK19" s="1145"/>
      <c r="AL19" s="1146"/>
      <c r="AM19" s="1145"/>
      <c r="AN19" s="1146"/>
      <c r="AO19" s="1145"/>
      <c r="AP19" s="1146"/>
      <c r="AQ19" s="1145"/>
      <c r="AR19" s="1146"/>
      <c r="AS19" s="1145"/>
      <c r="AT19" s="1146"/>
      <c r="AU19" s="1145"/>
      <c r="AV19" s="1146">
        <f t="shared" si="0"/>
        <v>500914747</v>
      </c>
      <c r="AW19" s="1145">
        <f t="shared" si="1"/>
        <v>107958666</v>
      </c>
      <c r="AX19" s="1146"/>
      <c r="AY19" s="1145"/>
      <c r="AZ19" s="1146">
        <f t="shared" si="2"/>
        <v>500914747</v>
      </c>
      <c r="BA19" s="1147">
        <f t="shared" si="3"/>
        <v>107958666</v>
      </c>
    </row>
    <row r="20" spans="1:53">
      <c r="A20" s="1151" t="s">
        <v>319</v>
      </c>
      <c r="B20" s="1148"/>
      <c r="C20" s="1149"/>
      <c r="D20" s="1146"/>
      <c r="E20" s="1145"/>
      <c r="F20" s="1146"/>
      <c r="G20" s="1145"/>
      <c r="H20" s="1146"/>
      <c r="I20" s="1145"/>
      <c r="J20" s="1146"/>
      <c r="K20" s="1145"/>
      <c r="L20" s="1146"/>
      <c r="M20" s="1147"/>
      <c r="N20" s="1144"/>
      <c r="O20" s="1147"/>
      <c r="P20" s="1144"/>
      <c r="Q20" s="1147"/>
      <c r="R20" s="1144"/>
      <c r="S20" s="1147"/>
      <c r="T20" s="1144"/>
      <c r="U20" s="1147"/>
      <c r="V20" s="1144"/>
      <c r="W20" s="1147"/>
      <c r="X20" s="1144"/>
      <c r="Y20" s="1145"/>
      <c r="Z20" s="1146"/>
      <c r="AA20" s="1145"/>
      <c r="AB20" s="1146"/>
      <c r="AC20" s="1147"/>
      <c r="AD20" s="1144"/>
      <c r="AE20" s="1145"/>
      <c r="AF20" s="1146"/>
      <c r="AG20" s="1145"/>
      <c r="AH20" s="1146"/>
      <c r="AI20" s="1147"/>
      <c r="AJ20" s="1144"/>
      <c r="AK20" s="1145"/>
      <c r="AL20" s="1146"/>
      <c r="AM20" s="1145"/>
      <c r="AN20" s="1146"/>
      <c r="AO20" s="1145"/>
      <c r="AP20" s="1146"/>
      <c r="AQ20" s="1145"/>
      <c r="AR20" s="1146"/>
      <c r="AS20" s="1145"/>
      <c r="AT20" s="1146"/>
      <c r="AU20" s="1145"/>
      <c r="AV20" s="1146">
        <f t="shared" si="0"/>
        <v>0</v>
      </c>
      <c r="AW20" s="1145">
        <f t="shared" si="1"/>
        <v>0</v>
      </c>
      <c r="AX20" s="1146">
        <v>97561599</v>
      </c>
      <c r="AY20" s="1145">
        <v>127558695</v>
      </c>
      <c r="AZ20" s="1146">
        <f t="shared" si="2"/>
        <v>97561599</v>
      </c>
      <c r="BA20" s="1147">
        <f t="shared" si="3"/>
        <v>127558695</v>
      </c>
    </row>
    <row r="21" spans="1:53">
      <c r="A21" s="417" t="s">
        <v>320</v>
      </c>
      <c r="B21" s="1148">
        <v>225952846</v>
      </c>
      <c r="C21" s="1149">
        <v>230412892</v>
      </c>
      <c r="D21" s="1146">
        <v>8447521</v>
      </c>
      <c r="E21" s="1145">
        <v>6581447</v>
      </c>
      <c r="F21" s="1146">
        <f>462943+33512+28061580+3543043+3612581</f>
        <v>35713659</v>
      </c>
      <c r="G21" s="1145">
        <f>499214+31165+22804794+2810966+2917779+1337153</f>
        <v>30401071</v>
      </c>
      <c r="H21" s="1146"/>
      <c r="I21" s="1145"/>
      <c r="J21" s="1146"/>
      <c r="K21" s="1145"/>
      <c r="L21" s="1146"/>
      <c r="M21" s="1147"/>
      <c r="N21" s="1144"/>
      <c r="O21" s="1147"/>
      <c r="P21" s="1144"/>
      <c r="Q21" s="1147"/>
      <c r="R21" s="1144"/>
      <c r="S21" s="1147"/>
      <c r="T21" s="1144"/>
      <c r="U21" s="1147"/>
      <c r="V21" s="1144"/>
      <c r="W21" s="1147"/>
      <c r="X21" s="1144"/>
      <c r="Y21" s="1145"/>
      <c r="Z21" s="1146"/>
      <c r="AA21" s="1145"/>
      <c r="AB21" s="1146"/>
      <c r="AC21" s="1147"/>
      <c r="AD21" s="1144"/>
      <c r="AE21" s="1145"/>
      <c r="AF21" s="1146"/>
      <c r="AG21" s="1145"/>
      <c r="AH21" s="1146"/>
      <c r="AI21" s="1147"/>
      <c r="AJ21" s="1144"/>
      <c r="AK21" s="1145"/>
      <c r="AL21" s="1146"/>
      <c r="AM21" s="1145"/>
      <c r="AN21" s="1146"/>
      <c r="AO21" s="1145"/>
      <c r="AP21" s="1146"/>
      <c r="AQ21" s="1145"/>
      <c r="AR21" s="1146"/>
      <c r="AS21" s="1145"/>
      <c r="AT21" s="1146"/>
      <c r="AU21" s="1145"/>
      <c r="AV21" s="1146">
        <f t="shared" si="0"/>
        <v>270114026</v>
      </c>
      <c r="AW21" s="1145">
        <f t="shared" si="1"/>
        <v>267395410</v>
      </c>
      <c r="AX21" s="1146"/>
      <c r="AY21" s="1145"/>
      <c r="AZ21" s="1146">
        <f t="shared" si="2"/>
        <v>270114026</v>
      </c>
      <c r="BA21" s="1147">
        <f t="shared" si="3"/>
        <v>267395410</v>
      </c>
    </row>
    <row r="22" spans="1:53">
      <c r="A22" s="417" t="s">
        <v>321</v>
      </c>
      <c r="B22" s="1148"/>
      <c r="C22" s="1149"/>
      <c r="D22" s="1146">
        <v>-89221</v>
      </c>
      <c r="E22" s="1145">
        <v>1051695</v>
      </c>
      <c r="F22" s="1146"/>
      <c r="G22" s="1145"/>
      <c r="H22" s="1146"/>
      <c r="I22" s="1145"/>
      <c r="J22" s="1146"/>
      <c r="K22" s="1145"/>
      <c r="L22" s="1146"/>
      <c r="M22" s="1147"/>
      <c r="N22" s="1144"/>
      <c r="O22" s="1147"/>
      <c r="P22" s="1144"/>
      <c r="Q22" s="1147"/>
      <c r="R22" s="1144"/>
      <c r="S22" s="1147"/>
      <c r="T22" s="1144"/>
      <c r="U22" s="1147"/>
      <c r="V22" s="1144"/>
      <c r="W22" s="1147"/>
      <c r="X22" s="1144"/>
      <c r="Y22" s="1145"/>
      <c r="Z22" s="1146"/>
      <c r="AA22" s="1145"/>
      <c r="AB22" s="1146"/>
      <c r="AC22" s="1147"/>
      <c r="AD22" s="1144"/>
      <c r="AE22" s="1145"/>
      <c r="AF22" s="1146"/>
      <c r="AG22" s="1145"/>
      <c r="AH22" s="1146"/>
      <c r="AI22" s="1147"/>
      <c r="AJ22" s="1144"/>
      <c r="AK22" s="1145"/>
      <c r="AL22" s="1146"/>
      <c r="AM22" s="1145"/>
      <c r="AN22" s="1146"/>
      <c r="AO22" s="1145"/>
      <c r="AP22" s="1146"/>
      <c r="AQ22" s="1145"/>
      <c r="AR22" s="1146"/>
      <c r="AS22" s="1145"/>
      <c r="AT22" s="1146"/>
      <c r="AU22" s="1145"/>
      <c r="AV22" s="1146">
        <f t="shared" si="0"/>
        <v>-89221</v>
      </c>
      <c r="AW22" s="1145">
        <f t="shared" si="1"/>
        <v>1051695</v>
      </c>
      <c r="AX22" s="1146"/>
      <c r="AY22" s="1145"/>
      <c r="AZ22" s="1146">
        <f t="shared" si="2"/>
        <v>-89221</v>
      </c>
      <c r="BA22" s="1147">
        <f t="shared" si="3"/>
        <v>1051695</v>
      </c>
    </row>
    <row r="23" spans="1:53">
      <c r="A23" s="1151" t="s">
        <v>322</v>
      </c>
      <c r="B23" s="1148"/>
      <c r="C23" s="1149"/>
      <c r="D23" s="1146">
        <v>8358300</v>
      </c>
      <c r="E23" s="1145">
        <v>7633142</v>
      </c>
      <c r="F23" s="1146"/>
      <c r="G23" s="1145"/>
      <c r="H23" s="1146">
        <v>195411470</v>
      </c>
      <c r="I23" s="1145"/>
      <c r="J23" s="1146"/>
      <c r="K23" s="1145"/>
      <c r="L23" s="1146">
        <f>77912809+967504</f>
        <v>78880313</v>
      </c>
      <c r="M23" s="1147">
        <v>78286330</v>
      </c>
      <c r="N23" s="1144">
        <v>3698055</v>
      </c>
      <c r="O23" s="1147">
        <v>3489521</v>
      </c>
      <c r="P23" s="1144">
        <v>5763597</v>
      </c>
      <c r="Q23" s="1147">
        <v>7649518</v>
      </c>
      <c r="R23" s="1144">
        <v>16851226</v>
      </c>
      <c r="S23" s="1147">
        <v>16363961</v>
      </c>
      <c r="T23" s="1144">
        <v>5294310</v>
      </c>
      <c r="U23" s="1147">
        <v>5507571</v>
      </c>
      <c r="V23" s="1144">
        <v>514682237</v>
      </c>
      <c r="W23" s="1147">
        <v>548132203</v>
      </c>
      <c r="X23" s="1144">
        <v>937883140</v>
      </c>
      <c r="Y23" s="1145"/>
      <c r="Z23" s="1146">
        <v>26892135</v>
      </c>
      <c r="AA23" s="1145">
        <v>26033425</v>
      </c>
      <c r="AB23" s="1146">
        <v>40723132</v>
      </c>
      <c r="AC23" s="1147">
        <v>41493529</v>
      </c>
      <c r="AD23" s="1144">
        <v>139165506</v>
      </c>
      <c r="AE23" s="1145">
        <v>144530113</v>
      </c>
      <c r="AF23" s="1146">
        <v>186219455</v>
      </c>
      <c r="AG23" s="1145">
        <v>193922323</v>
      </c>
      <c r="AH23" s="1146">
        <v>506273</v>
      </c>
      <c r="AI23" s="1147">
        <v>524103</v>
      </c>
      <c r="AJ23" s="1144">
        <v>54961737</v>
      </c>
      <c r="AK23" s="1145">
        <v>44319005</v>
      </c>
      <c r="AL23" s="1146"/>
      <c r="AM23" s="1145"/>
      <c r="AN23" s="1146">
        <v>630728856</v>
      </c>
      <c r="AO23" s="1145">
        <v>730396135</v>
      </c>
      <c r="AP23" s="1146">
        <v>4917282</v>
      </c>
      <c r="AQ23" s="1145">
        <v>4527248</v>
      </c>
      <c r="AR23" s="1146">
        <v>19927556</v>
      </c>
      <c r="AS23" s="1145">
        <v>18595493</v>
      </c>
      <c r="AT23" s="1146">
        <v>102149669</v>
      </c>
      <c r="AU23" s="1145">
        <v>102465848</v>
      </c>
      <c r="AV23" s="1146">
        <f t="shared" si="0"/>
        <v>2973014249</v>
      </c>
      <c r="AW23" s="1145">
        <f t="shared" si="1"/>
        <v>1973869468</v>
      </c>
      <c r="AX23" s="1146">
        <v>407495091</v>
      </c>
      <c r="AY23" s="1145">
        <v>347153518</v>
      </c>
      <c r="AZ23" s="1146">
        <f t="shared" si="2"/>
        <v>3380509340</v>
      </c>
      <c r="BA23" s="1147">
        <f t="shared" si="3"/>
        <v>2321022986</v>
      </c>
    </row>
    <row r="24" spans="1:53">
      <c r="A24" s="417" t="s">
        <v>353</v>
      </c>
      <c r="B24" s="1148"/>
      <c r="C24" s="1149"/>
      <c r="D24" s="1146"/>
      <c r="E24" s="1145"/>
      <c r="F24" s="1146"/>
      <c r="G24" s="1145"/>
      <c r="H24" s="1146">
        <v>20698163</v>
      </c>
      <c r="I24" s="1145">
        <v>8316566</v>
      </c>
      <c r="J24" s="1146"/>
      <c r="K24" s="1145"/>
      <c r="L24" s="1146">
        <v>8800303</v>
      </c>
      <c r="M24" s="1147">
        <v>5302205</v>
      </c>
      <c r="N24" s="1144"/>
      <c r="O24" s="1147"/>
      <c r="P24" s="1144">
        <v>326716</v>
      </c>
      <c r="Q24" s="1147">
        <v>-152525</v>
      </c>
      <c r="R24" s="1144">
        <v>2256287</v>
      </c>
      <c r="S24" s="1147">
        <v>1076285</v>
      </c>
      <c r="T24" s="1144"/>
      <c r="U24" s="1147"/>
      <c r="V24" s="1144">
        <v>85680342</v>
      </c>
      <c r="W24" s="1147">
        <v>32960101</v>
      </c>
      <c r="X24" s="1144">
        <v>104009517</v>
      </c>
      <c r="Y24" s="1145"/>
      <c r="Z24" s="1146"/>
      <c r="AA24" s="1145"/>
      <c r="AB24" s="1146"/>
      <c r="AC24" s="1147"/>
      <c r="AD24" s="1144"/>
      <c r="AE24" s="1145"/>
      <c r="AF24" s="1146"/>
      <c r="AG24" s="1145"/>
      <c r="AH24" s="1146"/>
      <c r="AI24" s="1147"/>
      <c r="AJ24" s="1144"/>
      <c r="AK24" s="1145"/>
      <c r="AL24" s="1146"/>
      <c r="AM24" s="1145"/>
      <c r="AN24" s="1146">
        <v>51234758</v>
      </c>
      <c r="AO24" s="1145">
        <v>34676291</v>
      </c>
      <c r="AP24" s="1146"/>
      <c r="AQ24" s="1145"/>
      <c r="AR24" s="1146">
        <v>3380757</v>
      </c>
      <c r="AS24" s="1145">
        <v>1513895</v>
      </c>
      <c r="AT24" s="1146"/>
      <c r="AU24" s="1145"/>
      <c r="AV24" s="1146">
        <f t="shared" si="0"/>
        <v>276386843</v>
      </c>
      <c r="AW24" s="1145">
        <f t="shared" si="1"/>
        <v>83692818</v>
      </c>
      <c r="AX24" s="1146"/>
      <c r="AY24" s="1145"/>
      <c r="AZ24" s="1146">
        <f t="shared" si="2"/>
        <v>276386843</v>
      </c>
      <c r="BA24" s="1147">
        <f t="shared" si="3"/>
        <v>83692818</v>
      </c>
    </row>
    <row r="25" spans="1:53">
      <c r="A25" s="417" t="s">
        <v>355</v>
      </c>
      <c r="B25" s="1148"/>
      <c r="C25" s="1149"/>
      <c r="D25" s="1146"/>
      <c r="E25" s="1145"/>
      <c r="F25" s="1146"/>
      <c r="G25" s="1145"/>
      <c r="H25" s="1146"/>
      <c r="I25" s="1145"/>
      <c r="J25" s="1146"/>
      <c r="K25" s="1145"/>
      <c r="L25" s="1146"/>
      <c r="M25" s="1147"/>
      <c r="N25" s="1144"/>
      <c r="O25" s="1147"/>
      <c r="P25" s="1144"/>
      <c r="Q25" s="1147"/>
      <c r="R25" s="1144">
        <v>100930</v>
      </c>
      <c r="S25" s="1147">
        <v>90544</v>
      </c>
      <c r="T25" s="1144"/>
      <c r="U25" s="1147"/>
      <c r="V25" s="1144"/>
      <c r="W25" s="1147"/>
      <c r="X25" s="1144"/>
      <c r="Y25" s="1145"/>
      <c r="Z25" s="1146"/>
      <c r="AA25" s="1145"/>
      <c r="AB25" s="1146"/>
      <c r="AC25" s="1147"/>
      <c r="AD25" s="1144"/>
      <c r="AE25" s="1145"/>
      <c r="AF25" s="1146"/>
      <c r="AG25" s="1145"/>
      <c r="AH25" s="1146">
        <v>56957786</v>
      </c>
      <c r="AI25" s="1147">
        <v>50653967</v>
      </c>
      <c r="AJ25" s="1144"/>
      <c r="AK25" s="1145"/>
      <c r="AL25" s="1146"/>
      <c r="AM25" s="1145"/>
      <c r="AN25" s="1146"/>
      <c r="AO25" s="1145"/>
      <c r="AP25" s="1146"/>
      <c r="AQ25" s="1145"/>
      <c r="AR25" s="1146"/>
      <c r="AS25" s="1145"/>
      <c r="AT25" s="1146">
        <v>2764</v>
      </c>
      <c r="AU25" s="1145">
        <v>4650</v>
      </c>
      <c r="AV25" s="1146">
        <f t="shared" si="0"/>
        <v>57061480</v>
      </c>
      <c r="AW25" s="1145">
        <f t="shared" si="1"/>
        <v>50749161</v>
      </c>
      <c r="AX25" s="1146"/>
      <c r="AY25" s="1145"/>
      <c r="AZ25" s="1146">
        <f t="shared" si="2"/>
        <v>57061480</v>
      </c>
      <c r="BA25" s="1147">
        <f t="shared" si="3"/>
        <v>50749161</v>
      </c>
    </row>
    <row r="26" spans="1:53">
      <c r="A26" s="1151" t="s">
        <v>323</v>
      </c>
      <c r="B26" s="1148"/>
      <c r="C26" s="1149"/>
      <c r="D26" s="1146"/>
      <c r="E26" s="1145"/>
      <c r="F26" s="1146"/>
      <c r="G26" s="1145"/>
      <c r="H26" s="1146"/>
      <c r="I26" s="1145"/>
      <c r="J26" s="1146"/>
      <c r="K26" s="1145"/>
      <c r="L26" s="1146"/>
      <c r="M26" s="1147"/>
      <c r="N26" s="1144"/>
      <c r="O26" s="1147"/>
      <c r="P26" s="1144"/>
      <c r="Q26" s="1147"/>
      <c r="R26" s="1144"/>
      <c r="S26" s="1147"/>
      <c r="T26" s="1144"/>
      <c r="U26" s="1147"/>
      <c r="V26" s="1144"/>
      <c r="W26" s="1147"/>
      <c r="X26" s="1144"/>
      <c r="Y26" s="1145"/>
      <c r="Z26" s="1146"/>
      <c r="AA26" s="1145"/>
      <c r="AB26" s="1146"/>
      <c r="AC26" s="1147"/>
      <c r="AD26" s="1144"/>
      <c r="AE26" s="1145"/>
      <c r="AF26" s="1146"/>
      <c r="AG26" s="1145"/>
      <c r="AH26" s="1146"/>
      <c r="AI26" s="1147"/>
      <c r="AJ26" s="1144"/>
      <c r="AK26" s="1145"/>
      <c r="AL26" s="1146"/>
      <c r="AM26" s="1145"/>
      <c r="AN26" s="1146"/>
      <c r="AO26" s="1145"/>
      <c r="AP26" s="1146"/>
      <c r="AQ26" s="1145"/>
      <c r="AR26" s="1146"/>
      <c r="AS26" s="1145"/>
      <c r="AT26" s="1146"/>
      <c r="AU26" s="1145"/>
      <c r="AV26" s="1146">
        <f t="shared" si="0"/>
        <v>0</v>
      </c>
      <c r="AW26" s="1145">
        <f t="shared" si="1"/>
        <v>0</v>
      </c>
      <c r="AX26" s="1146"/>
      <c r="AY26" s="1145"/>
      <c r="AZ26" s="1146">
        <f t="shared" si="2"/>
        <v>0</v>
      </c>
      <c r="BA26" s="1147">
        <f t="shared" si="3"/>
        <v>0</v>
      </c>
    </row>
    <row r="27" spans="1:53">
      <c r="A27" s="417" t="s">
        <v>324</v>
      </c>
      <c r="B27" s="1148">
        <v>6249426</v>
      </c>
      <c r="C27" s="1149">
        <v>6552725</v>
      </c>
      <c r="D27" s="1146">
        <v>1029129</v>
      </c>
      <c r="E27" s="1145">
        <v>1121787</v>
      </c>
      <c r="F27" s="1146">
        <v>1606475</v>
      </c>
      <c r="G27" s="1145"/>
      <c r="H27" s="1146">
        <v>9787168</v>
      </c>
      <c r="I27" s="1145">
        <v>14948181</v>
      </c>
      <c r="J27" s="1146">
        <v>93757</v>
      </c>
      <c r="K27" s="1145">
        <v>120833</v>
      </c>
      <c r="L27" s="1146">
        <v>6549717</v>
      </c>
      <c r="M27" s="1147">
        <v>7654751</v>
      </c>
      <c r="N27" s="1144"/>
      <c r="O27" s="1147"/>
      <c r="P27" s="1144">
        <v>867028</v>
      </c>
      <c r="Q27" s="1147">
        <v>1472072</v>
      </c>
      <c r="R27" s="1144">
        <f>955766+606402</f>
        <v>1562168</v>
      </c>
      <c r="S27" s="1147">
        <f>1190485+584462</f>
        <v>1774947</v>
      </c>
      <c r="T27" s="1144">
        <v>915531</v>
      </c>
      <c r="U27" s="1147">
        <v>868759</v>
      </c>
      <c r="V27" s="1144">
        <v>32862986</v>
      </c>
      <c r="W27" s="1147">
        <v>34111739</v>
      </c>
      <c r="X27" s="1144">
        <f>83373149+313033</f>
        <v>83686182</v>
      </c>
      <c r="Y27" s="1145">
        <f>91891334+429642</f>
        <v>92320976</v>
      </c>
      <c r="Z27" s="1146">
        <v>1010710</v>
      </c>
      <c r="AA27" s="1145">
        <v>1415744</v>
      </c>
      <c r="AB27" s="1146">
        <v>2122983</v>
      </c>
      <c r="AC27" s="1147">
        <v>3053795</v>
      </c>
      <c r="AD27" s="1144">
        <v>3277576</v>
      </c>
      <c r="AE27" s="1145">
        <v>3988589</v>
      </c>
      <c r="AF27" s="1146">
        <v>13492139</v>
      </c>
      <c r="AG27" s="1145">
        <v>19903807</v>
      </c>
      <c r="AH27" s="1146">
        <v>6766617</v>
      </c>
      <c r="AI27" s="1147">
        <v>6395820</v>
      </c>
      <c r="AJ27" s="1144">
        <v>4753779</v>
      </c>
      <c r="AK27" s="1145">
        <v>4096963</v>
      </c>
      <c r="AL27" s="1146"/>
      <c r="AM27" s="1145"/>
      <c r="AN27" s="1146">
        <v>40601090</v>
      </c>
      <c r="AO27" s="1145">
        <v>62719617</v>
      </c>
      <c r="AP27" s="1146">
        <v>156172</v>
      </c>
      <c r="AQ27" s="1145">
        <v>193676</v>
      </c>
      <c r="AR27" s="1146">
        <v>3262239</v>
      </c>
      <c r="AS27" s="1145">
        <v>1792527</v>
      </c>
      <c r="AT27" s="1146">
        <v>4351492</v>
      </c>
      <c r="AU27" s="1145">
        <v>8392355</v>
      </c>
      <c r="AV27" s="1146">
        <f t="shared" si="0"/>
        <v>225004364</v>
      </c>
      <c r="AW27" s="1145">
        <f t="shared" si="1"/>
        <v>272899663</v>
      </c>
      <c r="AX27" s="1146">
        <v>334978</v>
      </c>
      <c r="AY27" s="1145">
        <v>340256</v>
      </c>
      <c r="AZ27" s="1146">
        <f t="shared" si="2"/>
        <v>225339342</v>
      </c>
      <c r="BA27" s="1147">
        <f t="shared" si="3"/>
        <v>273239919</v>
      </c>
    </row>
    <row r="28" spans="1:53">
      <c r="A28" s="417" t="s">
        <v>325</v>
      </c>
      <c r="B28" s="1148"/>
      <c r="C28" s="1149"/>
      <c r="D28" s="1146">
        <v>11842</v>
      </c>
      <c r="E28" s="1145">
        <v>10696</v>
      </c>
      <c r="F28" s="1146"/>
      <c r="G28" s="1145"/>
      <c r="H28" s="1146">
        <v>63072</v>
      </c>
      <c r="I28" s="1145">
        <v>69461</v>
      </c>
      <c r="J28" s="1146"/>
      <c r="K28" s="1145"/>
      <c r="L28" s="1146">
        <v>58032</v>
      </c>
      <c r="M28" s="1147">
        <v>68537</v>
      </c>
      <c r="N28" s="1144"/>
      <c r="O28" s="1147"/>
      <c r="P28" s="1144"/>
      <c r="Q28" s="1147"/>
      <c r="R28" s="1144"/>
      <c r="S28" s="1147"/>
      <c r="T28" s="1144"/>
      <c r="U28" s="1147"/>
      <c r="V28" s="1144">
        <v>99872</v>
      </c>
      <c r="W28" s="1147">
        <v>95565</v>
      </c>
      <c r="X28" s="1144"/>
      <c r="Y28" s="1145"/>
      <c r="Z28" s="1146"/>
      <c r="AA28" s="1145"/>
      <c r="AB28" s="1146"/>
      <c r="AC28" s="1147"/>
      <c r="AD28" s="1144"/>
      <c r="AE28" s="1145"/>
      <c r="AF28" s="1146"/>
      <c r="AG28" s="1145">
        <v>-4554675</v>
      </c>
      <c r="AH28" s="1146"/>
      <c r="AI28" s="1147"/>
      <c r="AJ28" s="1144"/>
      <c r="AK28" s="1145"/>
      <c r="AL28" s="1146"/>
      <c r="AM28" s="1145"/>
      <c r="AN28" s="1146">
        <v>547827</v>
      </c>
      <c r="AO28" s="1145">
        <v>890268</v>
      </c>
      <c r="AP28" s="1146"/>
      <c r="AQ28" s="1145"/>
      <c r="AR28" s="1146">
        <v>5837</v>
      </c>
      <c r="AS28" s="1145">
        <v>1586</v>
      </c>
      <c r="AT28" s="1146">
        <v>22367</v>
      </c>
      <c r="AU28" s="1145">
        <v>42900</v>
      </c>
      <c r="AV28" s="1146">
        <f t="shared" si="0"/>
        <v>808849</v>
      </c>
      <c r="AW28" s="1145">
        <f t="shared" si="1"/>
        <v>-3375662</v>
      </c>
      <c r="AX28" s="1146">
        <v>186921</v>
      </c>
      <c r="AY28" s="1145">
        <v>184954</v>
      </c>
      <c r="AZ28" s="1146">
        <f t="shared" si="2"/>
        <v>995770</v>
      </c>
      <c r="BA28" s="1147">
        <f t="shared" si="3"/>
        <v>-3190708</v>
      </c>
    </row>
    <row r="29" spans="1:53">
      <c r="A29" s="417" t="s">
        <v>345</v>
      </c>
      <c r="B29" s="1148">
        <v>19282781</v>
      </c>
      <c r="C29" s="1149">
        <v>12225307</v>
      </c>
      <c r="D29" s="1146"/>
      <c r="E29" s="1145"/>
      <c r="F29" s="1146"/>
      <c r="G29" s="1145"/>
      <c r="H29" s="1146">
        <v>469477731</v>
      </c>
      <c r="I29" s="1145">
        <v>-135</v>
      </c>
      <c r="J29" s="1146"/>
      <c r="K29" s="1145"/>
      <c r="L29" s="1146"/>
      <c r="M29" s="1147"/>
      <c r="N29" s="1144"/>
      <c r="O29" s="1147"/>
      <c r="P29" s="1144"/>
      <c r="Q29" s="1147"/>
      <c r="R29" s="1144"/>
      <c r="S29" s="1147"/>
      <c r="T29" s="1144"/>
      <c r="U29" s="1147"/>
      <c r="V29" s="1144"/>
      <c r="W29" s="1147"/>
      <c r="X29" s="1144">
        <v>1880</v>
      </c>
      <c r="Y29" s="1145">
        <v>2268</v>
      </c>
      <c r="Z29" s="1146"/>
      <c r="AA29" s="1145"/>
      <c r="AB29" s="1146"/>
      <c r="AC29" s="1147"/>
      <c r="AD29" s="1144"/>
      <c r="AE29" s="1145"/>
      <c r="AF29" s="1146"/>
      <c r="AG29" s="1145"/>
      <c r="AH29" s="1146"/>
      <c r="AI29" s="1147"/>
      <c r="AJ29" s="1144"/>
      <c r="AK29" s="1145"/>
      <c r="AL29" s="1146"/>
      <c r="AM29" s="1145"/>
      <c r="AN29" s="1146"/>
      <c r="AO29" s="1145"/>
      <c r="AP29" s="1146"/>
      <c r="AQ29" s="1145"/>
      <c r="AR29" s="1146"/>
      <c r="AS29" s="1145"/>
      <c r="AT29" s="1146"/>
      <c r="AU29" s="1145"/>
      <c r="AV29" s="1146">
        <f t="shared" si="0"/>
        <v>488762392</v>
      </c>
      <c r="AW29" s="1145">
        <f t="shared" si="1"/>
        <v>12227440</v>
      </c>
      <c r="AX29" s="1146"/>
      <c r="AY29" s="1145"/>
      <c r="AZ29" s="1146">
        <f t="shared" si="2"/>
        <v>488762392</v>
      </c>
      <c r="BA29" s="1147">
        <f t="shared" si="3"/>
        <v>12227440</v>
      </c>
    </row>
    <row r="30" spans="1:53">
      <c r="A30" s="417" t="s">
        <v>346</v>
      </c>
      <c r="B30" s="1148">
        <f>SUM(B21:B29)</f>
        <v>251485053</v>
      </c>
      <c r="C30" s="1149">
        <f>SUM(C21:C29)</f>
        <v>249190924</v>
      </c>
      <c r="D30" s="1146"/>
      <c r="E30" s="1145"/>
      <c r="F30" s="1146"/>
      <c r="G30" s="1145"/>
      <c r="H30" s="1146"/>
      <c r="I30" s="1145"/>
      <c r="J30" s="1146"/>
      <c r="K30" s="1145"/>
      <c r="L30" s="1146"/>
      <c r="M30" s="1147"/>
      <c r="N30" s="1144"/>
      <c r="O30" s="1147"/>
      <c r="P30" s="1144"/>
      <c r="Q30" s="1147"/>
      <c r="R30" s="1144"/>
      <c r="S30" s="1147"/>
      <c r="T30" s="1144"/>
      <c r="U30" s="1147"/>
      <c r="V30" s="1144"/>
      <c r="W30" s="1147"/>
      <c r="X30" s="1144"/>
      <c r="Y30" s="1145"/>
      <c r="Z30" s="1146"/>
      <c r="AA30" s="1145"/>
      <c r="AB30" s="1146"/>
      <c r="AC30" s="1147"/>
      <c r="AD30" s="1144"/>
      <c r="AE30" s="1145"/>
      <c r="AF30" s="1146"/>
      <c r="AG30" s="1145"/>
      <c r="AH30" s="1146"/>
      <c r="AI30" s="1147"/>
      <c r="AJ30" s="1144"/>
      <c r="AK30" s="1145"/>
      <c r="AL30" s="1146"/>
      <c r="AM30" s="1145"/>
      <c r="AN30" s="1146"/>
      <c r="AO30" s="1145"/>
      <c r="AP30" s="1146"/>
      <c r="AQ30" s="1145"/>
      <c r="AR30" s="1146"/>
      <c r="AS30" s="1145"/>
      <c r="AT30" s="1146"/>
      <c r="AU30" s="1145"/>
      <c r="AV30" s="1146">
        <f t="shared" si="0"/>
        <v>251485053</v>
      </c>
      <c r="AW30" s="1145">
        <f t="shared" si="1"/>
        <v>249190924</v>
      </c>
      <c r="AX30" s="1146"/>
      <c r="AY30" s="1145"/>
      <c r="AZ30" s="1146">
        <f t="shared" si="2"/>
        <v>251485053</v>
      </c>
      <c r="BA30" s="1147">
        <f t="shared" si="3"/>
        <v>249190924</v>
      </c>
    </row>
    <row r="31" spans="1:53">
      <c r="A31" s="1151" t="s">
        <v>326</v>
      </c>
      <c r="B31" s="1148"/>
      <c r="C31" s="1149"/>
      <c r="D31" s="1146"/>
      <c r="E31" s="1145"/>
      <c r="F31" s="1146"/>
      <c r="G31" s="1145"/>
      <c r="H31" s="1146"/>
      <c r="I31" s="1145">
        <v>11179705</v>
      </c>
      <c r="J31" s="1146"/>
      <c r="K31" s="1145">
        <v>1077423</v>
      </c>
      <c r="L31" s="1146">
        <v>1960387</v>
      </c>
      <c r="M31" s="1147">
        <v>2467326</v>
      </c>
      <c r="N31" s="1144"/>
      <c r="O31" s="1147">
        <v>55916</v>
      </c>
      <c r="P31" s="1144">
        <v>39003</v>
      </c>
      <c r="Q31" s="1147">
        <v>49119</v>
      </c>
      <c r="R31" s="1144"/>
      <c r="S31" s="1147"/>
      <c r="T31" s="1144">
        <v>1025484</v>
      </c>
      <c r="U31" s="1147">
        <v>2227255</v>
      </c>
      <c r="V31" s="1144">
        <v>11291514</v>
      </c>
      <c r="W31" s="1147">
        <v>7879045</v>
      </c>
      <c r="X31" s="1144"/>
      <c r="Y31" s="1145"/>
      <c r="Z31" s="1146"/>
      <c r="AA31" s="1145"/>
      <c r="AB31" s="1146">
        <v>880483</v>
      </c>
      <c r="AC31" s="1147">
        <v>927076</v>
      </c>
      <c r="AD31" s="1144"/>
      <c r="AE31" s="1145"/>
      <c r="AF31" s="1146"/>
      <c r="AG31" s="1145"/>
      <c r="AH31" s="1146"/>
      <c r="AI31" s="1147"/>
      <c r="AJ31" s="1144"/>
      <c r="AK31" s="1145"/>
      <c r="AL31" s="1146"/>
      <c r="AM31" s="1145"/>
      <c r="AN31" s="1146"/>
      <c r="AO31" s="1145"/>
      <c r="AP31" s="1146"/>
      <c r="AQ31" s="1145"/>
      <c r="AR31" s="1146"/>
      <c r="AS31" s="1145"/>
      <c r="AT31" s="1146"/>
      <c r="AU31" s="1145"/>
      <c r="AV31" s="1146">
        <f t="shared" si="0"/>
        <v>15196871</v>
      </c>
      <c r="AW31" s="1145">
        <f t="shared" si="1"/>
        <v>25862865</v>
      </c>
      <c r="AX31" s="1146"/>
      <c r="AY31" s="1145"/>
      <c r="AZ31" s="1146">
        <f t="shared" si="2"/>
        <v>15196871</v>
      </c>
      <c r="BA31" s="1147">
        <f t="shared" si="3"/>
        <v>25862865</v>
      </c>
    </row>
    <row r="32" spans="1:53">
      <c r="A32" s="417" t="s">
        <v>244</v>
      </c>
      <c r="B32" s="1148">
        <v>91476</v>
      </c>
      <c r="C32" s="1149">
        <v>106231</v>
      </c>
      <c r="D32" s="1146"/>
      <c r="E32" s="1145"/>
      <c r="F32" s="1146"/>
      <c r="G32" s="1145"/>
      <c r="H32" s="1146"/>
      <c r="I32" s="1145"/>
      <c r="J32" s="1146"/>
      <c r="K32" s="1145"/>
      <c r="L32" s="1146"/>
      <c r="M32" s="1147"/>
      <c r="N32" s="1144"/>
      <c r="O32" s="1147"/>
      <c r="P32" s="1144"/>
      <c r="Q32" s="1147"/>
      <c r="R32" s="1144"/>
      <c r="S32" s="1147"/>
      <c r="T32" s="1144"/>
      <c r="U32" s="1147"/>
      <c r="V32" s="1144"/>
      <c r="W32" s="1147"/>
      <c r="X32" s="1144">
        <v>7008</v>
      </c>
      <c r="Y32" s="1145"/>
      <c r="Z32" s="1146"/>
      <c r="AA32" s="1145"/>
      <c r="AB32" s="1146"/>
      <c r="AC32" s="1147"/>
      <c r="AD32" s="1144"/>
      <c r="AE32" s="1145"/>
      <c r="AF32" s="1146"/>
      <c r="AG32" s="1145"/>
      <c r="AH32" s="1146"/>
      <c r="AI32" s="1147"/>
      <c r="AJ32" s="1144"/>
      <c r="AK32" s="1145"/>
      <c r="AL32" s="1146"/>
      <c r="AM32" s="1145"/>
      <c r="AN32" s="1146">
        <v>3441617</v>
      </c>
      <c r="AO32" s="1145">
        <v>10412610</v>
      </c>
      <c r="AP32" s="1146"/>
      <c r="AQ32" s="1145"/>
      <c r="AR32" s="1146"/>
      <c r="AS32" s="1145"/>
      <c r="AT32" s="1146"/>
      <c r="AU32" s="1145"/>
      <c r="AV32" s="1146">
        <f t="shared" si="0"/>
        <v>3540101</v>
      </c>
      <c r="AW32" s="1145">
        <f t="shared" si="1"/>
        <v>10518841</v>
      </c>
      <c r="AX32" s="1146"/>
      <c r="AY32" s="1145"/>
      <c r="AZ32" s="1146">
        <f t="shared" si="2"/>
        <v>3540101</v>
      </c>
      <c r="BA32" s="1147">
        <f t="shared" si="3"/>
        <v>10518841</v>
      </c>
    </row>
    <row r="33" spans="1:53">
      <c r="A33" s="417" t="s">
        <v>327</v>
      </c>
      <c r="B33" s="1148"/>
      <c r="C33" s="1149"/>
      <c r="D33" s="1146">
        <v>1336491</v>
      </c>
      <c r="E33" s="1145">
        <v>1599721</v>
      </c>
      <c r="F33" s="1146"/>
      <c r="G33" s="1145"/>
      <c r="H33" s="1146"/>
      <c r="I33" s="1145"/>
      <c r="J33" s="1146"/>
      <c r="K33" s="1145"/>
      <c r="L33" s="1146"/>
      <c r="M33" s="1147"/>
      <c r="N33" s="1144"/>
      <c r="O33" s="1147"/>
      <c r="P33" s="1144"/>
      <c r="Q33" s="1147"/>
      <c r="R33" s="1144"/>
      <c r="S33" s="1147"/>
      <c r="T33" s="1144"/>
      <c r="U33" s="1147"/>
      <c r="V33" s="1144"/>
      <c r="W33" s="1147"/>
      <c r="X33" s="1144">
        <v>10869081</v>
      </c>
      <c r="Y33" s="1145"/>
      <c r="Z33" s="1146"/>
      <c r="AA33" s="1145"/>
      <c r="AB33" s="1146"/>
      <c r="AC33" s="1147"/>
      <c r="AD33" s="1144"/>
      <c r="AE33" s="1145"/>
      <c r="AF33" s="1146">
        <v>22497702</v>
      </c>
      <c r="AG33" s="1145">
        <v>30962301</v>
      </c>
      <c r="AH33" s="1146"/>
      <c r="AI33" s="1147"/>
      <c r="AJ33" s="1144">
        <v>3547312</v>
      </c>
      <c r="AK33" s="1145">
        <v>2944871</v>
      </c>
      <c r="AL33" s="1146"/>
      <c r="AM33" s="1145"/>
      <c r="AN33" s="1146"/>
      <c r="AO33" s="1145"/>
      <c r="AP33" s="1146"/>
      <c r="AQ33" s="1145"/>
      <c r="AR33" s="1146"/>
      <c r="AS33" s="1145"/>
      <c r="AT33" s="1146"/>
      <c r="AU33" s="1145"/>
      <c r="AV33" s="1146">
        <f t="shared" si="0"/>
        <v>38250586</v>
      </c>
      <c r="AW33" s="1145">
        <f t="shared" si="1"/>
        <v>35506893</v>
      </c>
      <c r="AX33" s="1146"/>
      <c r="AY33" s="1145"/>
      <c r="AZ33" s="1146">
        <f t="shared" si="2"/>
        <v>38250586</v>
      </c>
      <c r="BA33" s="1147">
        <f t="shared" si="3"/>
        <v>35506893</v>
      </c>
    </row>
    <row r="34" spans="1:53">
      <c r="A34" s="417" t="s">
        <v>75</v>
      </c>
      <c r="B34" s="1148"/>
      <c r="C34" s="1149"/>
      <c r="D34" s="1146"/>
      <c r="E34" s="1145"/>
      <c r="F34" s="1146">
        <v>740321</v>
      </c>
      <c r="G34" s="1145">
        <v>799833</v>
      </c>
      <c r="H34" s="1146">
        <v>9777204</v>
      </c>
      <c r="I34" s="1145"/>
      <c r="J34" s="1146">
        <v>1002548</v>
      </c>
      <c r="K34" s="1145"/>
      <c r="L34" s="1146"/>
      <c r="M34" s="1147"/>
      <c r="N34" s="1144"/>
      <c r="O34" s="1147"/>
      <c r="P34" s="1144"/>
      <c r="Q34" s="1147">
        <v>5262</v>
      </c>
      <c r="R34" s="1144">
        <f>60623+1415034</f>
        <v>1475657</v>
      </c>
      <c r="S34" s="1147">
        <f>3410880+91518</f>
        <v>3502398</v>
      </c>
      <c r="T34" s="1144"/>
      <c r="U34" s="1147"/>
      <c r="V34" s="1144"/>
      <c r="W34" s="1147"/>
      <c r="X34" s="1144"/>
      <c r="Y34" s="1145"/>
      <c r="Z34" s="1146">
        <v>708648</v>
      </c>
      <c r="AA34" s="1145">
        <v>1140999</v>
      </c>
      <c r="AB34" s="1146"/>
      <c r="AC34" s="1147"/>
      <c r="AD34" s="1144">
        <f>2761691+1232108</f>
        <v>3993799</v>
      </c>
      <c r="AE34" s="1145"/>
      <c r="AF34" s="1146"/>
      <c r="AG34" s="1145"/>
      <c r="AH34" s="1146">
        <v>3556050</v>
      </c>
      <c r="AI34" s="1147">
        <v>5063230</v>
      </c>
      <c r="AJ34" s="1144"/>
      <c r="AK34" s="1145"/>
      <c r="AL34" s="1146"/>
      <c r="AM34" s="1145"/>
      <c r="AN34" s="1146"/>
      <c r="AO34" s="1145"/>
      <c r="AP34" s="1146">
        <v>169418</v>
      </c>
      <c r="AQ34" s="1145">
        <v>440318</v>
      </c>
      <c r="AR34" s="1146">
        <v>1862011</v>
      </c>
      <c r="AS34" s="1145">
        <v>2261789</v>
      </c>
      <c r="AT34" s="1146">
        <v>82086</v>
      </c>
      <c r="AU34" s="1145">
        <v>103049</v>
      </c>
      <c r="AV34" s="1146">
        <f t="shared" si="0"/>
        <v>23367742</v>
      </c>
      <c r="AW34" s="1145">
        <f t="shared" si="1"/>
        <v>13316878</v>
      </c>
      <c r="AX34" s="1146">
        <v>1729</v>
      </c>
      <c r="AY34" s="1145">
        <v>2144</v>
      </c>
      <c r="AZ34" s="1146">
        <f t="shared" si="2"/>
        <v>23369471</v>
      </c>
      <c r="BA34" s="1147">
        <f t="shared" si="3"/>
        <v>13319022</v>
      </c>
    </row>
    <row r="35" spans="1:53" s="81" customFormat="1" ht="13.5">
      <c r="A35" s="1151" t="s">
        <v>328</v>
      </c>
      <c r="B35" s="1152">
        <v>417445163</v>
      </c>
      <c r="C35" s="1153">
        <v>453909001</v>
      </c>
      <c r="D35" s="1156">
        <v>45975461</v>
      </c>
      <c r="E35" s="1159">
        <v>49017818</v>
      </c>
      <c r="F35" s="1156">
        <v>108905417</v>
      </c>
      <c r="G35" s="1159">
        <v>110729871</v>
      </c>
      <c r="H35" s="1156">
        <v>585571708</v>
      </c>
      <c r="I35" s="1159">
        <v>616355428</v>
      </c>
      <c r="J35" s="1156">
        <v>86963630</v>
      </c>
      <c r="K35" s="1159"/>
      <c r="L35" s="1156">
        <v>157157844</v>
      </c>
      <c r="M35" s="1157">
        <v>170359666</v>
      </c>
      <c r="N35" s="1158">
        <v>48587391</v>
      </c>
      <c r="O35" s="1157">
        <v>54798540</v>
      </c>
      <c r="P35" s="1158">
        <v>42690270</v>
      </c>
      <c r="Q35" s="1157">
        <v>49980020</v>
      </c>
      <c r="R35" s="1158">
        <v>155668041</v>
      </c>
      <c r="S35" s="1157">
        <v>172098593</v>
      </c>
      <c r="T35" s="1158">
        <v>57076159</v>
      </c>
      <c r="U35" s="1157">
        <v>63537517</v>
      </c>
      <c r="V35" s="1158">
        <v>1283722587</v>
      </c>
      <c r="W35" s="1157">
        <v>1389385928</v>
      </c>
      <c r="X35" s="1158">
        <v>1630422344</v>
      </c>
      <c r="Y35" s="1159">
        <v>1605901043</v>
      </c>
      <c r="Z35" s="1156">
        <v>93887215</v>
      </c>
      <c r="AA35" s="1159">
        <v>104458887</v>
      </c>
      <c r="AB35" s="1156">
        <v>149285638</v>
      </c>
      <c r="AC35" s="1157">
        <v>158003188</v>
      </c>
      <c r="AD35" s="1158">
        <v>315972087</v>
      </c>
      <c r="AE35" s="1159">
        <v>331095818</v>
      </c>
      <c r="AF35" s="1156">
        <v>648257146</v>
      </c>
      <c r="AG35" s="1159">
        <v>744163698</v>
      </c>
      <c r="AH35" s="1156">
        <v>219099136</v>
      </c>
      <c r="AI35" s="1157">
        <v>245396482</v>
      </c>
      <c r="AJ35" s="1158">
        <v>209537942</v>
      </c>
      <c r="AK35" s="1159">
        <v>216215954</v>
      </c>
      <c r="AL35" s="1156"/>
      <c r="AM35" s="1159"/>
      <c r="AN35" s="1156">
        <v>1487675676</v>
      </c>
      <c r="AO35" s="1159">
        <v>1765909964</v>
      </c>
      <c r="AP35" s="1156">
        <v>45046204</v>
      </c>
      <c r="AQ35" s="1159">
        <v>53957403</v>
      </c>
      <c r="AR35" s="1156">
        <v>87719536</v>
      </c>
      <c r="AS35" s="1159">
        <v>100568759</v>
      </c>
      <c r="AT35" s="1156">
        <v>300784217</v>
      </c>
      <c r="AU35" s="1159">
        <v>352538309</v>
      </c>
      <c r="AV35" s="1156">
        <f t="shared" si="0"/>
        <v>8177450812</v>
      </c>
      <c r="AW35" s="1159">
        <f t="shared" si="1"/>
        <v>8808381887</v>
      </c>
      <c r="AX35" s="1156">
        <v>31337772086</v>
      </c>
      <c r="AY35" s="1159">
        <v>32809559252</v>
      </c>
      <c r="AZ35" s="1156">
        <f t="shared" si="2"/>
        <v>39515222898</v>
      </c>
      <c r="BA35" s="1157">
        <f t="shared" si="3"/>
        <v>41617941139</v>
      </c>
    </row>
    <row r="36" spans="1:53">
      <c r="A36" s="1151" t="s">
        <v>329</v>
      </c>
      <c r="B36" s="1148"/>
      <c r="C36" s="1149"/>
      <c r="D36" s="1146"/>
      <c r="E36" s="1145"/>
      <c r="F36" s="1146"/>
      <c r="G36" s="1145"/>
      <c r="H36" s="1146"/>
      <c r="I36" s="1145"/>
      <c r="J36" s="1146"/>
      <c r="K36" s="1145"/>
      <c r="L36" s="1146"/>
      <c r="M36" s="1147"/>
      <c r="N36" s="1144"/>
      <c r="O36" s="1147"/>
      <c r="P36" s="1144"/>
      <c r="Q36" s="1147"/>
      <c r="R36" s="1144"/>
      <c r="S36" s="1147"/>
      <c r="T36" s="1144"/>
      <c r="U36" s="1147"/>
      <c r="V36" s="1144"/>
      <c r="W36" s="1147"/>
      <c r="X36" s="1144"/>
      <c r="Y36" s="1145"/>
      <c r="Z36" s="1146"/>
      <c r="AA36" s="1145"/>
      <c r="AB36" s="1146"/>
      <c r="AC36" s="1147"/>
      <c r="AD36" s="1144"/>
      <c r="AE36" s="1145"/>
      <c r="AF36" s="1146"/>
      <c r="AG36" s="1145"/>
      <c r="AH36" s="1146"/>
      <c r="AI36" s="1147"/>
      <c r="AJ36" s="1144"/>
      <c r="AK36" s="1145"/>
      <c r="AL36" s="1146"/>
      <c r="AM36" s="1145"/>
      <c r="AN36" s="1146"/>
      <c r="AO36" s="1145"/>
      <c r="AP36" s="1146"/>
      <c r="AQ36" s="1145"/>
      <c r="AR36" s="1146"/>
      <c r="AS36" s="1145"/>
      <c r="AT36" s="1146"/>
      <c r="AU36" s="1145"/>
      <c r="AV36" s="1146">
        <f t="shared" si="0"/>
        <v>0</v>
      </c>
      <c r="AW36" s="1145">
        <f t="shared" si="1"/>
        <v>0</v>
      </c>
      <c r="AX36" s="1146"/>
      <c r="AY36" s="1145"/>
      <c r="AZ36" s="1146">
        <f t="shared" si="2"/>
        <v>0</v>
      </c>
      <c r="BA36" s="1147">
        <f t="shared" si="3"/>
        <v>0</v>
      </c>
    </row>
    <row r="37" spans="1:53">
      <c r="A37" s="1151" t="s">
        <v>330</v>
      </c>
      <c r="B37" s="1148"/>
      <c r="C37" s="1149"/>
      <c r="D37" s="1146"/>
      <c r="E37" s="1145"/>
      <c r="F37" s="1146"/>
      <c r="G37" s="1145"/>
      <c r="H37" s="1146"/>
      <c r="I37" s="1145"/>
      <c r="J37" s="1146"/>
      <c r="K37" s="1145"/>
      <c r="L37" s="1146"/>
      <c r="M37" s="1147"/>
      <c r="N37" s="1144"/>
      <c r="O37" s="1147"/>
      <c r="P37" s="1144"/>
      <c r="Q37" s="1147"/>
      <c r="R37" s="1144"/>
      <c r="S37" s="1147"/>
      <c r="T37" s="1144"/>
      <c r="U37" s="1147"/>
      <c r="V37" s="1144"/>
      <c r="W37" s="1147"/>
      <c r="X37" s="1144"/>
      <c r="Y37" s="1145"/>
      <c r="Z37" s="1146"/>
      <c r="AA37" s="1145"/>
      <c r="AB37" s="1146"/>
      <c r="AC37" s="1147"/>
      <c r="AD37" s="1144"/>
      <c r="AE37" s="1145"/>
      <c r="AF37" s="1146"/>
      <c r="AG37" s="1145"/>
      <c r="AH37" s="1146"/>
      <c r="AI37" s="1147"/>
      <c r="AJ37" s="1144"/>
      <c r="AK37" s="1145"/>
      <c r="AL37" s="1146"/>
      <c r="AM37" s="1145"/>
      <c r="AN37" s="1146"/>
      <c r="AO37" s="1145"/>
      <c r="AP37" s="1146"/>
      <c r="AQ37" s="1145"/>
      <c r="AR37" s="1146"/>
      <c r="AS37" s="1145"/>
      <c r="AT37" s="1146"/>
      <c r="AU37" s="1145"/>
      <c r="AV37" s="1146">
        <f t="shared" si="0"/>
        <v>0</v>
      </c>
      <c r="AW37" s="1145">
        <f t="shared" si="1"/>
        <v>0</v>
      </c>
      <c r="AX37" s="1146"/>
      <c r="AY37" s="1145"/>
      <c r="AZ37" s="1146">
        <f t="shared" si="2"/>
        <v>0</v>
      </c>
      <c r="BA37" s="1147">
        <f t="shared" si="3"/>
        <v>0</v>
      </c>
    </row>
    <row r="38" spans="1:53">
      <c r="A38" s="417" t="s">
        <v>377</v>
      </c>
      <c r="B38" s="1148">
        <v>21371527</v>
      </c>
      <c r="C38" s="1149">
        <v>23583012</v>
      </c>
      <c r="D38" s="1146">
        <v>1664955</v>
      </c>
      <c r="E38" s="1145">
        <v>738738</v>
      </c>
      <c r="F38" s="1146">
        <v>6676335</v>
      </c>
      <c r="G38" s="1145">
        <v>6519973</v>
      </c>
      <c r="H38" s="1146">
        <v>95685758</v>
      </c>
      <c r="I38" s="1145">
        <v>94615897</v>
      </c>
      <c r="J38" s="1146">
        <v>3274349</v>
      </c>
      <c r="K38" s="1145">
        <v>3933605</v>
      </c>
      <c r="L38" s="1146">
        <v>9445780</v>
      </c>
      <c r="M38" s="1147">
        <v>10418949</v>
      </c>
      <c r="N38" s="1144">
        <v>7529351</v>
      </c>
      <c r="O38" s="1147">
        <v>7806951</v>
      </c>
      <c r="P38" s="1144">
        <v>6274141</v>
      </c>
      <c r="Q38" s="1147">
        <v>3480639</v>
      </c>
      <c r="R38" s="1144">
        <v>9999340</v>
      </c>
      <c r="S38" s="1147">
        <v>11007282</v>
      </c>
      <c r="T38" s="1144">
        <v>2582981</v>
      </c>
      <c r="U38" s="1147">
        <v>2469270</v>
      </c>
      <c r="V38" s="1144">
        <v>51783380</v>
      </c>
      <c r="W38" s="1147">
        <v>62953879</v>
      </c>
      <c r="X38" s="1144">
        <v>77670468</v>
      </c>
      <c r="Y38" s="1145">
        <v>71629870</v>
      </c>
      <c r="Z38" s="1146">
        <v>6241054</v>
      </c>
      <c r="AA38" s="1145">
        <v>7030388</v>
      </c>
      <c r="AB38" s="1146">
        <v>5900352</v>
      </c>
      <c r="AC38" s="1147">
        <v>6385624</v>
      </c>
      <c r="AD38" s="1144">
        <v>27603213</v>
      </c>
      <c r="AE38" s="1145">
        <v>33636308</v>
      </c>
      <c r="AF38" s="1146">
        <v>29238676</v>
      </c>
      <c r="AG38" s="1145">
        <v>32731285</v>
      </c>
      <c r="AH38" s="1146">
        <v>12043282</v>
      </c>
      <c r="AI38" s="1147">
        <v>12774702</v>
      </c>
      <c r="AJ38" s="1144">
        <v>12402532</v>
      </c>
      <c r="AK38" s="1145">
        <v>11879242</v>
      </c>
      <c r="AL38" s="1146">
        <v>68997379</v>
      </c>
      <c r="AM38" s="1145"/>
      <c r="AN38" s="1146">
        <v>68997379</v>
      </c>
      <c r="AO38" s="1145">
        <v>80825490</v>
      </c>
      <c r="AP38" s="1146">
        <v>5401683</v>
      </c>
      <c r="AQ38" s="1145">
        <v>5656434</v>
      </c>
      <c r="AR38" s="1146">
        <v>5172041</v>
      </c>
      <c r="AS38" s="1145">
        <v>5799677</v>
      </c>
      <c r="AT38" s="1146">
        <v>19927683</v>
      </c>
      <c r="AU38" s="1145">
        <v>20494188</v>
      </c>
      <c r="AV38" s="1146">
        <f t="shared" si="0"/>
        <v>555883639</v>
      </c>
      <c r="AW38" s="1145">
        <f t="shared" si="1"/>
        <v>516371403</v>
      </c>
      <c r="AX38" s="1146">
        <v>6398777</v>
      </c>
      <c r="AY38" s="1145">
        <v>6850291</v>
      </c>
      <c r="AZ38" s="1146">
        <f t="shared" si="2"/>
        <v>562282416</v>
      </c>
      <c r="BA38" s="1147">
        <f t="shared" si="3"/>
        <v>523221694</v>
      </c>
    </row>
    <row r="39" spans="1:53">
      <c r="A39" s="417" t="s">
        <v>378</v>
      </c>
      <c r="B39" s="1148">
        <v>135253187</v>
      </c>
      <c r="C39" s="1149">
        <v>174691928</v>
      </c>
      <c r="D39" s="1146">
        <v>14535486</v>
      </c>
      <c r="E39" s="1145">
        <v>17860487</v>
      </c>
      <c r="F39" s="1146">
        <v>50663565</v>
      </c>
      <c r="G39" s="1145">
        <v>58833142</v>
      </c>
      <c r="H39" s="1146">
        <v>255045205</v>
      </c>
      <c r="I39" s="1145">
        <v>286948390</v>
      </c>
      <c r="J39" s="1146">
        <v>46926200</v>
      </c>
      <c r="K39" s="1145">
        <v>61321203</v>
      </c>
      <c r="L39" s="1146">
        <v>52199441</v>
      </c>
      <c r="M39" s="1147">
        <v>66843258</v>
      </c>
      <c r="N39" s="1144">
        <v>33101404</v>
      </c>
      <c r="O39" s="1147">
        <v>39992376</v>
      </c>
      <c r="P39" s="1144">
        <v>16118993</v>
      </c>
      <c r="Q39" s="1147">
        <v>21033858</v>
      </c>
      <c r="R39" s="1144">
        <v>110887533</v>
      </c>
      <c r="S39" s="1147">
        <v>128203066</v>
      </c>
      <c r="T39" s="1144">
        <v>29968541</v>
      </c>
      <c r="U39" s="1147">
        <v>35086516</v>
      </c>
      <c r="V39" s="1144">
        <v>610706131</v>
      </c>
      <c r="W39" s="1147">
        <v>721494290</v>
      </c>
      <c r="X39" s="1144">
        <v>421982126</v>
      </c>
      <c r="Y39" s="1145">
        <v>510915984</v>
      </c>
      <c r="Z39" s="1146">
        <v>55434299</v>
      </c>
      <c r="AA39" s="1145">
        <v>64863740</v>
      </c>
      <c r="AB39" s="1146">
        <v>98349399</v>
      </c>
      <c r="AC39" s="1147">
        <v>102690917</v>
      </c>
      <c r="AD39" s="1144">
        <v>148237602</v>
      </c>
      <c r="AE39" s="1145">
        <v>192804981</v>
      </c>
      <c r="AF39" s="1146">
        <v>409817069</v>
      </c>
      <c r="AG39" s="1145">
        <v>485831425</v>
      </c>
      <c r="AH39" s="1146">
        <v>134376639</v>
      </c>
      <c r="AI39" s="1147">
        <v>168632840</v>
      </c>
      <c r="AJ39" s="1144">
        <v>132667388</v>
      </c>
      <c r="AK39" s="1145">
        <v>150860824</v>
      </c>
      <c r="AL39" s="1146">
        <v>660910923</v>
      </c>
      <c r="AM39" s="1145"/>
      <c r="AN39" s="1146">
        <v>660910923</v>
      </c>
      <c r="AO39" s="1145">
        <v>776945043</v>
      </c>
      <c r="AP39" s="1146">
        <v>32369439</v>
      </c>
      <c r="AQ39" s="1145">
        <v>40746031</v>
      </c>
      <c r="AR39" s="1146">
        <v>54125426</v>
      </c>
      <c r="AS39" s="1145">
        <v>70902155</v>
      </c>
      <c r="AT39" s="1146">
        <v>167077572</v>
      </c>
      <c r="AU39" s="1145">
        <v>215657747</v>
      </c>
      <c r="AV39" s="1146">
        <f t="shared" si="0"/>
        <v>4331664491</v>
      </c>
      <c r="AW39" s="1145">
        <f t="shared" si="1"/>
        <v>4393160201</v>
      </c>
      <c r="AX39" s="1146">
        <v>28751147189</v>
      </c>
      <c r="AY39" s="1145">
        <v>30158746129</v>
      </c>
      <c r="AZ39" s="1146">
        <f t="shared" si="2"/>
        <v>33082811680</v>
      </c>
      <c r="BA39" s="1147">
        <f t="shared" si="3"/>
        <v>34551906330</v>
      </c>
    </row>
    <row r="40" spans="1:53">
      <c r="A40" s="417" t="s">
        <v>379</v>
      </c>
      <c r="B40" s="1148">
        <v>251485053</v>
      </c>
      <c r="C40" s="1149">
        <v>249190924</v>
      </c>
      <c r="D40" s="1146">
        <v>9399271</v>
      </c>
      <c r="E40" s="1145">
        <v>8765625</v>
      </c>
      <c r="F40" s="1146">
        <v>38036162</v>
      </c>
      <c r="G40" s="1145">
        <v>31169325</v>
      </c>
      <c r="H40" s="1146">
        <v>255959392</v>
      </c>
      <c r="I40" s="1145">
        <v>221442601</v>
      </c>
      <c r="J40" s="1146">
        <v>10509019</v>
      </c>
      <c r="K40" s="1145">
        <v>10401492</v>
      </c>
      <c r="L40" s="1146">
        <v>94288365</v>
      </c>
      <c r="M40" s="1147">
        <v>92119886</v>
      </c>
      <c r="N40" s="1144">
        <v>3698055</v>
      </c>
      <c r="O40" s="1147">
        <v>3489521</v>
      </c>
      <c r="P40" s="1144">
        <v>6957342</v>
      </c>
      <c r="Q40" s="1147">
        <v>8969063</v>
      </c>
      <c r="R40" s="1144">
        <v>20063279</v>
      </c>
      <c r="S40" s="1147">
        <v>18630731</v>
      </c>
      <c r="T40" s="1144">
        <v>6209841</v>
      </c>
      <c r="U40" s="1147">
        <v>6376330</v>
      </c>
      <c r="V40" s="1144">
        <v>633325437</v>
      </c>
      <c r="W40" s="1147">
        <v>615299608</v>
      </c>
      <c r="X40" s="1144">
        <v>1125587727</v>
      </c>
      <c r="Y40" s="1145">
        <v>1102511126</v>
      </c>
      <c r="Z40" s="1146">
        <v>27902845</v>
      </c>
      <c r="AA40" s="1145">
        <v>27449169</v>
      </c>
      <c r="AB40" s="1146">
        <v>42846116</v>
      </c>
      <c r="AC40" s="1147">
        <v>44547324</v>
      </c>
      <c r="AD40" s="1144">
        <v>142443082</v>
      </c>
      <c r="AE40" s="1145">
        <v>148518702</v>
      </c>
      <c r="AF40" s="1146">
        <v>199711594</v>
      </c>
      <c r="AG40" s="1145">
        <v>213826130</v>
      </c>
      <c r="AH40" s="1146">
        <v>63724403</v>
      </c>
      <c r="AI40" s="1147">
        <v>57049787</v>
      </c>
      <c r="AJ40" s="1144">
        <v>59715516</v>
      </c>
      <c r="AK40" s="1145">
        <v>48415968</v>
      </c>
      <c r="AL40" s="1146">
        <v>723112529</v>
      </c>
      <c r="AM40" s="1145"/>
      <c r="AN40" s="1146">
        <v>723112529</v>
      </c>
      <c r="AO40" s="1145">
        <v>878682311</v>
      </c>
      <c r="AP40" s="1146">
        <v>5073455</v>
      </c>
      <c r="AQ40" s="1145">
        <v>4720924</v>
      </c>
      <c r="AR40" s="1146">
        <v>26576389</v>
      </c>
      <c r="AS40" s="1145">
        <v>21903505</v>
      </c>
      <c r="AT40" s="1146">
        <v>106523528</v>
      </c>
      <c r="AU40" s="1145">
        <v>110901103</v>
      </c>
      <c r="AV40" s="1146">
        <f t="shared" si="0"/>
        <v>4576260929</v>
      </c>
      <c r="AW40" s="1145">
        <f t="shared" si="1"/>
        <v>3924381155</v>
      </c>
      <c r="AX40" s="1146">
        <v>729007406</v>
      </c>
      <c r="AY40" s="1145">
        <v>745784772</v>
      </c>
      <c r="AZ40" s="1146">
        <f t="shared" si="2"/>
        <v>5305268335</v>
      </c>
      <c r="BA40" s="1147">
        <f t="shared" si="3"/>
        <v>4670165927</v>
      </c>
    </row>
    <row r="41" spans="1:53">
      <c r="A41" s="417" t="s">
        <v>380</v>
      </c>
      <c r="B41" s="1148">
        <v>1308273</v>
      </c>
      <c r="C41" s="1149">
        <v>1756410</v>
      </c>
      <c r="D41" s="1146">
        <v>664381</v>
      </c>
      <c r="E41" s="1145">
        <v>682884</v>
      </c>
      <c r="F41" s="1146"/>
      <c r="G41" s="1145"/>
      <c r="H41" s="1146">
        <v>3398189</v>
      </c>
      <c r="I41" s="1145">
        <v>4258561</v>
      </c>
      <c r="J41" s="1146">
        <v>126514</v>
      </c>
      <c r="K41" s="1145">
        <v>192717</v>
      </c>
      <c r="L41" s="1146">
        <v>5841</v>
      </c>
      <c r="M41" s="1147">
        <v>13314</v>
      </c>
      <c r="N41" s="1144">
        <v>223249</v>
      </c>
      <c r="O41" s="1147">
        <v>423647</v>
      </c>
      <c r="P41" s="1144">
        <v>62653</v>
      </c>
      <c r="Q41" s="1147">
        <v>102026</v>
      </c>
      <c r="R41" s="1144">
        <v>3882296</v>
      </c>
      <c r="S41" s="1147">
        <v>4679820</v>
      </c>
      <c r="T41" s="1144">
        <v>115103</v>
      </c>
      <c r="U41" s="1147">
        <v>181224</v>
      </c>
      <c r="V41" s="1144">
        <v>1158425</v>
      </c>
      <c r="W41" s="1147">
        <v>3041474</v>
      </c>
      <c r="X41" s="1144">
        <v>3155184</v>
      </c>
      <c r="Y41" s="1145">
        <v>4919997</v>
      </c>
      <c r="Z41" s="1146">
        <v>43764</v>
      </c>
      <c r="AA41" s="1145">
        <v>76522</v>
      </c>
      <c r="AB41" s="1146">
        <v>72619</v>
      </c>
      <c r="AC41" s="1147">
        <v>92598</v>
      </c>
      <c r="AD41" s="1144">
        <v>912697</v>
      </c>
      <c r="AE41" s="1145">
        <v>902282</v>
      </c>
      <c r="AF41" s="1146">
        <v>3569616</v>
      </c>
      <c r="AG41" s="1145">
        <v>4474405</v>
      </c>
      <c r="AH41" s="1146">
        <v>485152</v>
      </c>
      <c r="AI41" s="1147">
        <v>593562</v>
      </c>
      <c r="AJ41" s="1144">
        <v>383648</v>
      </c>
      <c r="AK41" s="1145">
        <v>515708</v>
      </c>
      <c r="AL41" s="1146">
        <v>1751340</v>
      </c>
      <c r="AM41" s="1145"/>
      <c r="AN41" s="1146">
        <v>1751340</v>
      </c>
      <c r="AO41" s="1145">
        <v>3686779</v>
      </c>
      <c r="AP41" s="1146">
        <v>273618</v>
      </c>
      <c r="AQ41" s="1145">
        <v>452822</v>
      </c>
      <c r="AR41" s="1146">
        <v>88470</v>
      </c>
      <c r="AS41" s="1145">
        <v>108025</v>
      </c>
      <c r="AT41" s="1146">
        <v>3786029</v>
      </c>
      <c r="AU41" s="1145">
        <v>4504070</v>
      </c>
      <c r="AV41" s="1146">
        <f t="shared" si="0"/>
        <v>27218401</v>
      </c>
      <c r="AW41" s="1145">
        <f t="shared" si="1"/>
        <v>35658847</v>
      </c>
      <c r="AX41" s="1146">
        <v>1058660915</v>
      </c>
      <c r="AY41" s="1145">
        <v>1062697342</v>
      </c>
      <c r="AZ41" s="1146">
        <f t="shared" si="2"/>
        <v>1085879316</v>
      </c>
      <c r="BA41" s="1147">
        <f t="shared" si="3"/>
        <v>1098356189</v>
      </c>
    </row>
    <row r="42" spans="1:53">
      <c r="A42" s="417" t="s">
        <v>381</v>
      </c>
      <c r="B42" s="1148">
        <v>875029</v>
      </c>
      <c r="C42" s="1149">
        <v>925462</v>
      </c>
      <c r="D42" s="1146">
        <v>352991</v>
      </c>
      <c r="E42" s="1145">
        <v>860668</v>
      </c>
      <c r="F42" s="1146">
        <v>109355</v>
      </c>
      <c r="G42" s="1145">
        <v>111665</v>
      </c>
      <c r="H42" s="1146">
        <v>3226515</v>
      </c>
      <c r="I42" s="1145">
        <v>3502411</v>
      </c>
      <c r="J42" s="1146">
        <v>239643</v>
      </c>
      <c r="K42" s="1145">
        <v>207298</v>
      </c>
      <c r="L42" s="1146">
        <v>147433</v>
      </c>
      <c r="M42" s="1147">
        <v>343678</v>
      </c>
      <c r="N42" s="1144">
        <v>493395</v>
      </c>
      <c r="O42" s="1147">
        <v>338275</v>
      </c>
      <c r="P42" s="1144">
        <v>974508</v>
      </c>
      <c r="Q42" s="1147">
        <v>1009982</v>
      </c>
      <c r="R42" s="1144">
        <v>366846</v>
      </c>
      <c r="S42" s="1147">
        <v>344712</v>
      </c>
      <c r="T42" s="1144">
        <v>620116</v>
      </c>
      <c r="U42" s="1147">
        <v>810172</v>
      </c>
      <c r="V42" s="1144">
        <v>3412135</v>
      </c>
      <c r="W42" s="1147">
        <v>3290532</v>
      </c>
      <c r="X42" s="1144">
        <v>4683066</v>
      </c>
      <c r="Y42" s="1145">
        <v>4685922</v>
      </c>
      <c r="Z42" s="1146">
        <v>1389344</v>
      </c>
      <c r="AA42" s="1145">
        <v>1319849</v>
      </c>
      <c r="AB42" s="1146">
        <v>244942</v>
      </c>
      <c r="AC42" s="1147">
        <v>387563</v>
      </c>
      <c r="AD42" s="1144">
        <v>751800</v>
      </c>
      <c r="AE42" s="1145">
        <v>813953</v>
      </c>
      <c r="AF42" s="1146">
        <v>2157107</v>
      </c>
      <c r="AG42" s="1145">
        <v>2209172</v>
      </c>
      <c r="AH42" s="1146">
        <v>1019513</v>
      </c>
      <c r="AI42" s="1147">
        <v>1200676</v>
      </c>
      <c r="AJ42" s="1144">
        <v>429568</v>
      </c>
      <c r="AK42" s="1145">
        <v>506974</v>
      </c>
      <c r="AL42" s="1146">
        <v>6004482</v>
      </c>
      <c r="AM42" s="1145"/>
      <c r="AN42" s="1146">
        <v>6004482</v>
      </c>
      <c r="AO42" s="1145">
        <v>5701164</v>
      </c>
      <c r="AP42" s="1146">
        <v>626648</v>
      </c>
      <c r="AQ42" s="1145">
        <v>676633</v>
      </c>
      <c r="AR42" s="1146">
        <v>172696</v>
      </c>
      <c r="AS42" s="1145">
        <v>239419</v>
      </c>
      <c r="AT42" s="1146">
        <v>1945964</v>
      </c>
      <c r="AU42" s="1145">
        <v>1892794</v>
      </c>
      <c r="AV42" s="1146">
        <f t="shared" si="0"/>
        <v>36247578</v>
      </c>
      <c r="AW42" s="1145">
        <f t="shared" si="1"/>
        <v>31378974</v>
      </c>
      <c r="AX42" s="1146">
        <v>28514320</v>
      </c>
      <c r="AY42" s="1145">
        <v>29340889</v>
      </c>
      <c r="AZ42" s="1146">
        <f t="shared" si="2"/>
        <v>64761898</v>
      </c>
      <c r="BA42" s="1147">
        <f t="shared" si="3"/>
        <v>60719863</v>
      </c>
    </row>
    <row r="43" spans="1:53">
      <c r="A43" s="1151" t="s">
        <v>331</v>
      </c>
      <c r="B43" s="1148"/>
      <c r="C43" s="1149"/>
      <c r="D43" s="1146"/>
      <c r="E43" s="1145"/>
      <c r="F43" s="1146"/>
      <c r="G43" s="1145"/>
      <c r="H43" s="1146"/>
      <c r="I43" s="1145"/>
      <c r="J43" s="1146"/>
      <c r="K43" s="1145"/>
      <c r="L43" s="1146"/>
      <c r="M43" s="1147"/>
      <c r="N43" s="1144"/>
      <c r="O43" s="1147"/>
      <c r="P43" s="1144"/>
      <c r="Q43" s="1147"/>
      <c r="R43" s="1144"/>
      <c r="S43" s="1147"/>
      <c r="T43" s="1144"/>
      <c r="U43" s="1147"/>
      <c r="V43" s="1144"/>
      <c r="W43" s="1147"/>
      <c r="X43" s="1144"/>
      <c r="Y43" s="1145"/>
      <c r="Z43" s="1146"/>
      <c r="AA43" s="1145"/>
      <c r="AB43" s="1146"/>
      <c r="AC43" s="1147"/>
      <c r="AD43" s="1144"/>
      <c r="AE43" s="1145"/>
      <c r="AF43" s="1146"/>
      <c r="AG43" s="1145"/>
      <c r="AH43" s="1146"/>
      <c r="AI43" s="1147"/>
      <c r="AJ43" s="1144"/>
      <c r="AK43" s="1145"/>
      <c r="AL43" s="1146"/>
      <c r="AM43" s="1145"/>
      <c r="AN43" s="1146"/>
      <c r="AO43" s="1145"/>
      <c r="AP43" s="1146"/>
      <c r="AQ43" s="1145"/>
      <c r="AR43" s="1146"/>
      <c r="AS43" s="1145"/>
      <c r="AT43" s="1146"/>
      <c r="AU43" s="1145"/>
      <c r="AV43" s="1146">
        <f t="shared" si="0"/>
        <v>0</v>
      </c>
      <c r="AW43" s="1145">
        <f t="shared" si="1"/>
        <v>0</v>
      </c>
      <c r="AX43" s="1146"/>
      <c r="AY43" s="1145"/>
      <c r="AZ43" s="1146">
        <f t="shared" si="2"/>
        <v>0</v>
      </c>
      <c r="BA43" s="1147">
        <f t="shared" si="3"/>
        <v>0</v>
      </c>
    </row>
    <row r="44" spans="1:53">
      <c r="A44" s="1151" t="s">
        <v>354</v>
      </c>
      <c r="B44" s="1148"/>
      <c r="C44" s="1149"/>
      <c r="D44" s="1146"/>
      <c r="E44" s="1145"/>
      <c r="F44" s="1146"/>
      <c r="G44" s="1145"/>
      <c r="H44" s="1146"/>
      <c r="I44" s="1145"/>
      <c r="J44" s="1146"/>
      <c r="K44" s="1145"/>
      <c r="L44" s="1146"/>
      <c r="M44" s="1147"/>
      <c r="N44" s="1144">
        <v>276107</v>
      </c>
      <c r="O44" s="1147">
        <v>231104</v>
      </c>
      <c r="P44" s="1144"/>
      <c r="Q44" s="1147"/>
      <c r="R44" s="1144">
        <v>96072</v>
      </c>
      <c r="S44" s="1147">
        <v>89627</v>
      </c>
      <c r="T44" s="1144"/>
      <c r="U44" s="1147"/>
      <c r="V44" s="1144"/>
      <c r="W44" s="1147"/>
      <c r="X44" s="1144">
        <v>448</v>
      </c>
      <c r="Y44" s="1145"/>
      <c r="Z44" s="1146"/>
      <c r="AA44" s="1145"/>
      <c r="AB44" s="1146"/>
      <c r="AC44" s="1147"/>
      <c r="AD44" s="1144"/>
      <c r="AE44" s="1145"/>
      <c r="AF44" s="1146"/>
      <c r="AG44" s="1145"/>
      <c r="AH44" s="1146"/>
      <c r="AI44" s="1147"/>
      <c r="AJ44" s="1144"/>
      <c r="AK44" s="1145"/>
      <c r="AL44" s="1146"/>
      <c r="AM44" s="1145"/>
      <c r="AN44" s="1146"/>
      <c r="AO44" s="1145"/>
      <c r="AP44" s="1146"/>
      <c r="AQ44" s="1145"/>
      <c r="AR44" s="1146"/>
      <c r="AS44" s="1145"/>
      <c r="AT44" s="1146"/>
      <c r="AU44" s="1145"/>
      <c r="AV44" s="1146">
        <f t="shared" si="0"/>
        <v>372627</v>
      </c>
      <c r="AW44" s="1145">
        <f t="shared" si="1"/>
        <v>320731</v>
      </c>
      <c r="AX44" s="1146"/>
      <c r="AY44" s="1145"/>
      <c r="AZ44" s="1146">
        <f t="shared" si="2"/>
        <v>372627</v>
      </c>
      <c r="BA44" s="1147">
        <f t="shared" si="3"/>
        <v>320731</v>
      </c>
    </row>
    <row r="45" spans="1:53">
      <c r="A45" s="417" t="s">
        <v>382</v>
      </c>
      <c r="B45" s="1148">
        <v>4091676</v>
      </c>
      <c r="C45" s="1149">
        <v>3174854</v>
      </c>
      <c r="D45" s="1146">
        <v>266350</v>
      </c>
      <c r="E45" s="1145">
        <v>230277</v>
      </c>
      <c r="F45" s="1146">
        <v>414826</v>
      </c>
      <c r="G45" s="1145">
        <v>256071</v>
      </c>
      <c r="H45" s="1146">
        <v>1536924</v>
      </c>
      <c r="I45" s="1145">
        <v>2258803</v>
      </c>
      <c r="J45" s="1146">
        <v>633058</v>
      </c>
      <c r="K45" s="1145">
        <v>634604</v>
      </c>
      <c r="L45" s="1146">
        <v>1001064</v>
      </c>
      <c r="M45" s="1147">
        <v>1899004</v>
      </c>
      <c r="N45" s="1144">
        <v>546060</v>
      </c>
      <c r="O45" s="1147">
        <v>241952</v>
      </c>
      <c r="P45" s="1144">
        <v>306793</v>
      </c>
      <c r="Q45" s="1147">
        <v>328062</v>
      </c>
      <c r="R45" s="1144">
        <v>1366268</v>
      </c>
      <c r="S45" s="1147">
        <v>1474368</v>
      </c>
      <c r="T45" s="1144">
        <v>274436</v>
      </c>
      <c r="U45" s="1147">
        <v>672841</v>
      </c>
      <c r="V45" s="1144">
        <v>2043629</v>
      </c>
      <c r="W45" s="1147">
        <v>2935588</v>
      </c>
      <c r="X45" s="1144">
        <v>978213</v>
      </c>
      <c r="Y45" s="1145">
        <v>8124030</v>
      </c>
      <c r="Z45" s="1146">
        <v>556763</v>
      </c>
      <c r="AA45" s="1145">
        <v>758087</v>
      </c>
      <c r="AB45" s="1146">
        <v>611874</v>
      </c>
      <c r="AC45" s="1147">
        <v>1101200</v>
      </c>
      <c r="AD45" s="1144">
        <v>215055</v>
      </c>
      <c r="AE45" s="1145">
        <v>800881</v>
      </c>
      <c r="AF45" s="1146">
        <v>2823288</v>
      </c>
      <c r="AG45" s="1145">
        <v>3330643</v>
      </c>
      <c r="AH45" s="1146">
        <v>1616192</v>
      </c>
      <c r="AI45" s="1147">
        <v>972987</v>
      </c>
      <c r="AJ45" s="1144">
        <v>1913062</v>
      </c>
      <c r="AK45" s="1145">
        <v>1613935</v>
      </c>
      <c r="AL45" s="1146"/>
      <c r="AM45" s="1145"/>
      <c r="AN45" s="1146">
        <v>15912102</v>
      </c>
      <c r="AO45" s="1145">
        <v>16498413</v>
      </c>
      <c r="AP45" s="1146">
        <v>895852</v>
      </c>
      <c r="AQ45" s="1145">
        <v>1035744</v>
      </c>
      <c r="AR45" s="1146">
        <v>532073</v>
      </c>
      <c r="AS45" s="1145">
        <v>488737</v>
      </c>
      <c r="AT45" s="1146">
        <v>1478061</v>
      </c>
      <c r="AU45" s="1145">
        <v>1260257</v>
      </c>
      <c r="AV45" s="1146">
        <f t="shared" si="0"/>
        <v>40013619</v>
      </c>
      <c r="AW45" s="1145">
        <f t="shared" si="1"/>
        <v>50091338</v>
      </c>
      <c r="AX45" s="1146">
        <v>111393829</v>
      </c>
      <c r="AY45" s="1145">
        <v>215956694</v>
      </c>
      <c r="AZ45" s="1146">
        <f t="shared" si="2"/>
        <v>151407448</v>
      </c>
      <c r="BA45" s="1147">
        <f t="shared" si="3"/>
        <v>266048032</v>
      </c>
    </row>
    <row r="46" spans="1:53">
      <c r="A46" s="417" t="s">
        <v>347</v>
      </c>
      <c r="B46" s="1148">
        <v>10434681</v>
      </c>
      <c r="C46" s="1149">
        <v>11603428</v>
      </c>
      <c r="D46" s="1146">
        <v>1568305</v>
      </c>
      <c r="E46" s="1145">
        <v>1192378</v>
      </c>
      <c r="F46" s="1146">
        <v>3956555</v>
      </c>
      <c r="G46" s="1145">
        <v>4135708</v>
      </c>
      <c r="H46" s="1146">
        <v>19384019</v>
      </c>
      <c r="I46" s="1145">
        <v>26369904</v>
      </c>
      <c r="J46" s="1146">
        <v>3422432</v>
      </c>
      <c r="K46" s="1145">
        <v>4089137</v>
      </c>
      <c r="L46" s="1146">
        <v>3092737</v>
      </c>
      <c r="M46" s="1147">
        <v>3082204</v>
      </c>
      <c r="N46" s="1144">
        <v>4438988</v>
      </c>
      <c r="O46" s="1147">
        <v>3123744</v>
      </c>
      <c r="P46" s="1144">
        <v>1844995</v>
      </c>
      <c r="Q46" s="1147">
        <v>2597690</v>
      </c>
      <c r="R46" s="1144">
        <v>5352555</v>
      </c>
      <c r="S46" s="1147">
        <v>5656110</v>
      </c>
      <c r="T46" s="1144">
        <v>1691182</v>
      </c>
      <c r="U46" s="1147">
        <v>1723710</v>
      </c>
      <c r="V46" s="1144">
        <v>27482829</v>
      </c>
      <c r="W46" s="1147">
        <v>32040617</v>
      </c>
      <c r="X46" s="1144">
        <v>21672695</v>
      </c>
      <c r="Y46" s="1145">
        <v>30619265</v>
      </c>
      <c r="Z46" s="1146">
        <v>4005873</v>
      </c>
      <c r="AA46" s="1145">
        <v>4437340</v>
      </c>
      <c r="AB46" s="1146">
        <v>4328529</v>
      </c>
      <c r="AC46" s="1147">
        <v>4003578</v>
      </c>
      <c r="AD46" s="1144">
        <v>6141052</v>
      </c>
      <c r="AE46" s="1145">
        <v>6185058</v>
      </c>
      <c r="AF46" s="1146">
        <v>18223210</v>
      </c>
      <c r="AG46" s="1145">
        <v>18776916</v>
      </c>
      <c r="AH46" s="1146">
        <v>8352934</v>
      </c>
      <c r="AI46" s="1147">
        <v>9070051</v>
      </c>
      <c r="AJ46" s="1144">
        <v>7819614</v>
      </c>
      <c r="AK46" s="1145">
        <v>9589663</v>
      </c>
      <c r="AL46" s="1146"/>
      <c r="AM46" s="1145"/>
      <c r="AN46" s="1146">
        <v>39512413</v>
      </c>
      <c r="AO46" s="1145">
        <v>39765242</v>
      </c>
      <c r="AP46" s="1146">
        <v>2963514</v>
      </c>
      <c r="AQ46" s="1145">
        <v>3016409</v>
      </c>
      <c r="AR46" s="1146">
        <v>2932055</v>
      </c>
      <c r="AS46" s="1145">
        <v>3704538</v>
      </c>
      <c r="AT46" s="1146">
        <v>9266057</v>
      </c>
      <c r="AU46" s="1145">
        <v>9783556</v>
      </c>
      <c r="AV46" s="1146">
        <f t="shared" si="0"/>
        <v>207887224</v>
      </c>
      <c r="AW46" s="1145">
        <f t="shared" si="1"/>
        <v>234566246</v>
      </c>
      <c r="AX46" s="1146">
        <v>1294669414</v>
      </c>
      <c r="AY46" s="1145">
        <v>1388130136</v>
      </c>
      <c r="AZ46" s="1146">
        <f t="shared" si="2"/>
        <v>1502556638</v>
      </c>
      <c r="BA46" s="1147">
        <f t="shared" si="3"/>
        <v>1622696382</v>
      </c>
    </row>
    <row r="47" spans="1:53" s="81" customFormat="1" ht="13.5">
      <c r="A47" s="1151" t="s">
        <v>332</v>
      </c>
      <c r="B47" s="1152">
        <f>SUM(B45:B46)</f>
        <v>14526357</v>
      </c>
      <c r="C47" s="1153">
        <f>SUM(C45:C46)</f>
        <v>14778282</v>
      </c>
      <c r="D47" s="1156">
        <v>1834655</v>
      </c>
      <c r="E47" s="1159">
        <v>1422655</v>
      </c>
      <c r="F47" s="1156">
        <v>4371381</v>
      </c>
      <c r="G47" s="1159">
        <v>4391779</v>
      </c>
      <c r="H47" s="1156">
        <v>20920943</v>
      </c>
      <c r="I47" s="1159">
        <v>28628707</v>
      </c>
      <c r="J47" s="1156">
        <v>4055490</v>
      </c>
      <c r="K47" s="1159">
        <v>4723741</v>
      </c>
      <c r="L47" s="1156">
        <v>4093801</v>
      </c>
      <c r="M47" s="1157">
        <v>4981208</v>
      </c>
      <c r="N47" s="1158">
        <v>4985048</v>
      </c>
      <c r="O47" s="1157">
        <v>3365696</v>
      </c>
      <c r="P47" s="1158">
        <v>2151788</v>
      </c>
      <c r="Q47" s="1157">
        <v>2925752</v>
      </c>
      <c r="R47" s="1158">
        <v>6718824</v>
      </c>
      <c r="S47" s="1157">
        <v>7130478</v>
      </c>
      <c r="T47" s="1158">
        <v>1965618</v>
      </c>
      <c r="U47" s="1157">
        <v>2396551</v>
      </c>
      <c r="V47" s="1158">
        <v>29526458</v>
      </c>
      <c r="W47" s="1157">
        <v>34976205</v>
      </c>
      <c r="X47" s="1158">
        <v>22650908</v>
      </c>
      <c r="Y47" s="1159">
        <v>38743295</v>
      </c>
      <c r="Z47" s="1156">
        <v>4562636</v>
      </c>
      <c r="AA47" s="1159">
        <v>5195427</v>
      </c>
      <c r="AB47" s="1156">
        <v>4940404</v>
      </c>
      <c r="AC47" s="1157">
        <v>5104778</v>
      </c>
      <c r="AD47" s="1158">
        <v>6356107</v>
      </c>
      <c r="AE47" s="1159">
        <v>6985939</v>
      </c>
      <c r="AF47" s="1156">
        <v>21046498</v>
      </c>
      <c r="AG47" s="1159">
        <v>22107559</v>
      </c>
      <c r="AH47" s="1156">
        <v>9969126</v>
      </c>
      <c r="AI47" s="1157">
        <v>10043038</v>
      </c>
      <c r="AJ47" s="1158">
        <v>9732676</v>
      </c>
      <c r="AK47" s="1159">
        <v>11203598</v>
      </c>
      <c r="AL47" s="1156"/>
      <c r="AM47" s="1159"/>
      <c r="AN47" s="1156">
        <v>55424515</v>
      </c>
      <c r="AO47" s="1159">
        <v>56263654</v>
      </c>
      <c r="AP47" s="1156">
        <v>3859366</v>
      </c>
      <c r="AQ47" s="1159">
        <v>4052152</v>
      </c>
      <c r="AR47" s="1156">
        <v>3464128</v>
      </c>
      <c r="AS47" s="1159">
        <v>4193275</v>
      </c>
      <c r="AT47" s="1156">
        <v>10744118</v>
      </c>
      <c r="AU47" s="1159">
        <v>11043813</v>
      </c>
      <c r="AV47" s="1156">
        <f t="shared" si="0"/>
        <v>247900845</v>
      </c>
      <c r="AW47" s="1159">
        <f t="shared" si="1"/>
        <v>284657582</v>
      </c>
      <c r="AX47" s="1156">
        <v>1406063243</v>
      </c>
      <c r="AY47" s="1159">
        <v>1604086830</v>
      </c>
      <c r="AZ47" s="1156">
        <f t="shared" si="2"/>
        <v>1653964088</v>
      </c>
      <c r="BA47" s="1157">
        <f t="shared" si="3"/>
        <v>1888744412</v>
      </c>
    </row>
    <row r="48" spans="1:53">
      <c r="A48" s="417" t="s">
        <v>383</v>
      </c>
      <c r="B48" s="1148">
        <v>9155273</v>
      </c>
      <c r="C48" s="1149">
        <v>10185851</v>
      </c>
      <c r="D48" s="1146">
        <v>1668418</v>
      </c>
      <c r="E48" s="1145">
        <v>1391901</v>
      </c>
      <c r="F48" s="1146">
        <v>3832459</v>
      </c>
      <c r="G48" s="1145">
        <v>3967252</v>
      </c>
      <c r="H48" s="1146">
        <v>14020827</v>
      </c>
      <c r="I48" s="1145">
        <v>18680364</v>
      </c>
      <c r="J48" s="1146">
        <v>3234578</v>
      </c>
      <c r="K48" s="1145">
        <v>3154651</v>
      </c>
      <c r="L48" s="1146">
        <v>2958579</v>
      </c>
      <c r="M48" s="1147">
        <v>4247147</v>
      </c>
      <c r="N48" s="1144">
        <v>3437414</v>
      </c>
      <c r="O48" s="1147">
        <v>1835188</v>
      </c>
      <c r="P48" s="1144">
        <v>1641094</v>
      </c>
      <c r="Q48" s="1147">
        <v>2182195</v>
      </c>
      <c r="R48" s="1144">
        <v>3949838</v>
      </c>
      <c r="S48" s="1147">
        <v>4982557</v>
      </c>
      <c r="T48" s="1144">
        <v>1491811</v>
      </c>
      <c r="U48" s="1147">
        <v>2008911</v>
      </c>
      <c r="V48" s="1144">
        <v>45599971</v>
      </c>
      <c r="W48" s="1147">
        <v>51036850</v>
      </c>
      <c r="X48" s="1144">
        <v>25001498</v>
      </c>
      <c r="Y48" s="1145">
        <v>37189139</v>
      </c>
      <c r="Z48" s="1146">
        <v>1542497</v>
      </c>
      <c r="AA48" s="1145">
        <v>1413885</v>
      </c>
      <c r="AB48" s="1146">
        <v>4685360</v>
      </c>
      <c r="AC48" s="1147">
        <v>3372834</v>
      </c>
      <c r="AD48" s="1144">
        <v>9820064</v>
      </c>
      <c r="AE48" s="1145">
        <v>12210968</v>
      </c>
      <c r="AF48" s="1146">
        <v>16728729</v>
      </c>
      <c r="AG48" s="1145">
        <v>16222012</v>
      </c>
      <c r="AH48" s="1146">
        <v>9843885</v>
      </c>
      <c r="AI48" s="1147">
        <v>11028454</v>
      </c>
      <c r="AJ48" s="1144">
        <v>7602044</v>
      </c>
      <c r="AK48" s="1145">
        <v>8698237</v>
      </c>
      <c r="AL48" s="1146"/>
      <c r="AM48" s="1145"/>
      <c r="AN48" s="1146">
        <v>25527834</v>
      </c>
      <c r="AO48" s="1145">
        <v>32435858</v>
      </c>
      <c r="AP48" s="1146">
        <v>2325183</v>
      </c>
      <c r="AQ48" s="1145">
        <v>2030510</v>
      </c>
      <c r="AR48" s="1146">
        <v>1834104</v>
      </c>
      <c r="AS48" s="1145">
        <v>2531078</v>
      </c>
      <c r="AT48" s="1146">
        <v>8644293</v>
      </c>
      <c r="AU48" s="1145">
        <v>11512166</v>
      </c>
      <c r="AV48" s="1146">
        <f t="shared" si="0"/>
        <v>204545753</v>
      </c>
      <c r="AW48" s="1145">
        <f t="shared" si="1"/>
        <v>242318008</v>
      </c>
      <c r="AX48" s="1146">
        <v>465983250</v>
      </c>
      <c r="AY48" s="1145">
        <v>621539012</v>
      </c>
      <c r="AZ48" s="1146">
        <f t="shared" si="2"/>
        <v>670529003</v>
      </c>
      <c r="BA48" s="1147">
        <f t="shared" si="3"/>
        <v>863857020</v>
      </c>
    </row>
    <row r="49" spans="1:53">
      <c r="A49" s="417" t="s">
        <v>384</v>
      </c>
      <c r="B49" s="1148">
        <v>725534</v>
      </c>
      <c r="C49" s="1149">
        <v>831166</v>
      </c>
      <c r="D49" s="1146">
        <v>19932</v>
      </c>
      <c r="E49" s="1145">
        <v>42737</v>
      </c>
      <c r="F49" s="1146">
        <v>106424</v>
      </c>
      <c r="G49" s="1145">
        <v>121650</v>
      </c>
      <c r="H49" s="1146">
        <v>4643467</v>
      </c>
      <c r="I49" s="1145">
        <v>4360775</v>
      </c>
      <c r="J49" s="1146">
        <v>206651</v>
      </c>
      <c r="K49" s="1145">
        <v>194836</v>
      </c>
      <c r="L49" s="1146">
        <v>64238</v>
      </c>
      <c r="M49" s="1147">
        <v>113480</v>
      </c>
      <c r="N49" s="1144">
        <v>147895</v>
      </c>
      <c r="O49" s="1147">
        <v>1565018</v>
      </c>
      <c r="P49" s="1144">
        <v>20385</v>
      </c>
      <c r="Q49" s="1147">
        <v>27779</v>
      </c>
      <c r="R49" s="1144">
        <v>259608</v>
      </c>
      <c r="S49" s="1147">
        <v>492912</v>
      </c>
      <c r="T49" s="1144">
        <v>84085</v>
      </c>
      <c r="U49" s="1147">
        <v>55850</v>
      </c>
      <c r="V49" s="1144">
        <v>589408</v>
      </c>
      <c r="W49" s="1147">
        <v>633210</v>
      </c>
      <c r="X49" s="1144">
        <v>306085</v>
      </c>
      <c r="Y49" s="1145">
        <v>255960</v>
      </c>
      <c r="Z49" s="1146">
        <v>144655</v>
      </c>
      <c r="AA49" s="1145">
        <v>76343</v>
      </c>
      <c r="AB49" s="1146">
        <v>8896</v>
      </c>
      <c r="AC49" s="1147">
        <v>20017</v>
      </c>
      <c r="AD49" s="1144">
        <v>512350</v>
      </c>
      <c r="AE49" s="1145">
        <v>2393296</v>
      </c>
      <c r="AF49" s="1146">
        <v>554685</v>
      </c>
      <c r="AG49" s="1145">
        <v>794266</v>
      </c>
      <c r="AH49" s="1146">
        <v>351627</v>
      </c>
      <c r="AI49" s="1147">
        <v>503761</v>
      </c>
      <c r="AJ49" s="1144">
        <v>435173</v>
      </c>
      <c r="AK49" s="1145">
        <v>691968</v>
      </c>
      <c r="AL49" s="1146"/>
      <c r="AM49" s="1145"/>
      <c r="AN49" s="1146">
        <v>2997659</v>
      </c>
      <c r="AO49" s="1145">
        <v>3758619</v>
      </c>
      <c r="AP49" s="1146">
        <v>232821</v>
      </c>
      <c r="AQ49" s="1145">
        <v>317083</v>
      </c>
      <c r="AR49" s="1146">
        <v>45510</v>
      </c>
      <c r="AS49" s="1145">
        <v>46219</v>
      </c>
      <c r="AT49" s="1146">
        <v>576384</v>
      </c>
      <c r="AU49" s="1145">
        <v>443240</v>
      </c>
      <c r="AV49" s="1146">
        <f t="shared" si="0"/>
        <v>13033472</v>
      </c>
      <c r="AW49" s="1145">
        <f t="shared" si="1"/>
        <v>17740185</v>
      </c>
      <c r="AX49" s="1146">
        <v>176036514</v>
      </c>
      <c r="AY49" s="1145">
        <v>176407989</v>
      </c>
      <c r="AZ49" s="1146">
        <f t="shared" si="2"/>
        <v>189069986</v>
      </c>
      <c r="BA49" s="1147">
        <f t="shared" si="3"/>
        <v>194148174</v>
      </c>
    </row>
    <row r="50" spans="1:53" s="81" customFormat="1" ht="13.5">
      <c r="A50" s="1151" t="s">
        <v>333</v>
      </c>
      <c r="B50" s="1152">
        <f>SUM(B48:B49)</f>
        <v>9880807</v>
      </c>
      <c r="C50" s="1153">
        <f>SUM(C48:C49)</f>
        <v>11017017</v>
      </c>
      <c r="D50" s="1156">
        <v>1688350</v>
      </c>
      <c r="E50" s="1159">
        <f t="shared" ref="E50:O50" si="7">SUM(E48:E49)</f>
        <v>1434638</v>
      </c>
      <c r="F50" s="1156">
        <f t="shared" si="7"/>
        <v>3938883</v>
      </c>
      <c r="G50" s="1159">
        <f t="shared" si="7"/>
        <v>4088902</v>
      </c>
      <c r="H50" s="1156">
        <f t="shared" si="7"/>
        <v>18664294</v>
      </c>
      <c r="I50" s="1159">
        <f t="shared" si="7"/>
        <v>23041139</v>
      </c>
      <c r="J50" s="1156">
        <f t="shared" si="7"/>
        <v>3441229</v>
      </c>
      <c r="K50" s="1159">
        <f t="shared" si="7"/>
        <v>3349487</v>
      </c>
      <c r="L50" s="1156">
        <f t="shared" si="7"/>
        <v>3022817</v>
      </c>
      <c r="M50" s="1157">
        <f t="shared" si="7"/>
        <v>4360627</v>
      </c>
      <c r="N50" s="1158">
        <f t="shared" si="7"/>
        <v>3585309</v>
      </c>
      <c r="O50" s="1157">
        <f t="shared" si="7"/>
        <v>3400206</v>
      </c>
      <c r="P50" s="1158">
        <f t="shared" ref="P50:Y50" si="8">SUM(P48:P49)</f>
        <v>1661479</v>
      </c>
      <c r="Q50" s="1157">
        <f t="shared" si="8"/>
        <v>2209974</v>
      </c>
      <c r="R50" s="1158">
        <f t="shared" si="8"/>
        <v>4209446</v>
      </c>
      <c r="S50" s="1157">
        <f t="shared" si="8"/>
        <v>5475469</v>
      </c>
      <c r="T50" s="1158">
        <f t="shared" si="8"/>
        <v>1575896</v>
      </c>
      <c r="U50" s="1157">
        <f t="shared" si="8"/>
        <v>2064761</v>
      </c>
      <c r="V50" s="1158">
        <f t="shared" si="8"/>
        <v>46189379</v>
      </c>
      <c r="W50" s="1157">
        <f t="shared" si="8"/>
        <v>51670060</v>
      </c>
      <c r="X50" s="1158">
        <f t="shared" si="8"/>
        <v>25307583</v>
      </c>
      <c r="Y50" s="1159">
        <f t="shared" si="8"/>
        <v>37445099</v>
      </c>
      <c r="Z50" s="1156">
        <v>1687152</v>
      </c>
      <c r="AA50" s="1159">
        <v>1490228</v>
      </c>
      <c r="AB50" s="1156">
        <v>4694256</v>
      </c>
      <c r="AC50" s="1157">
        <v>3392851</v>
      </c>
      <c r="AD50" s="1158">
        <v>10332414</v>
      </c>
      <c r="AE50" s="1159">
        <v>14604264</v>
      </c>
      <c r="AF50" s="1156">
        <v>17283414</v>
      </c>
      <c r="AG50" s="1159">
        <v>17016278</v>
      </c>
      <c r="AH50" s="1156">
        <v>10195512</v>
      </c>
      <c r="AI50" s="1157">
        <v>11532215</v>
      </c>
      <c r="AJ50" s="1158">
        <v>8037217</v>
      </c>
      <c r="AK50" s="1159">
        <v>9390205</v>
      </c>
      <c r="AL50" s="1156"/>
      <c r="AM50" s="1159"/>
      <c r="AN50" s="1156">
        <f>SUM(AN48:AN49)</f>
        <v>28525493</v>
      </c>
      <c r="AO50" s="1159">
        <v>36194477</v>
      </c>
      <c r="AP50" s="1156">
        <f t="shared" ref="AP50:AU50" si="9">SUM(AP48:AP49)</f>
        <v>2558004</v>
      </c>
      <c r="AQ50" s="1159">
        <v>2347593</v>
      </c>
      <c r="AR50" s="1156">
        <f t="shared" si="9"/>
        <v>1879614</v>
      </c>
      <c r="AS50" s="1159">
        <f t="shared" si="9"/>
        <v>2577297</v>
      </c>
      <c r="AT50" s="1156">
        <f t="shared" si="9"/>
        <v>9220677</v>
      </c>
      <c r="AU50" s="1159">
        <f t="shared" si="9"/>
        <v>11955406</v>
      </c>
      <c r="AV50" s="1156">
        <f t="shared" si="0"/>
        <v>217579225</v>
      </c>
      <c r="AW50" s="1159">
        <f t="shared" si="1"/>
        <v>260058193</v>
      </c>
      <c r="AX50" s="1156">
        <f>SUM(AX48:AX49)</f>
        <v>642019764</v>
      </c>
      <c r="AY50" s="1159">
        <f>SUM(AY48:AY49)</f>
        <v>797947001</v>
      </c>
      <c r="AZ50" s="1156">
        <f t="shared" si="2"/>
        <v>859598989</v>
      </c>
      <c r="BA50" s="1157">
        <f t="shared" si="3"/>
        <v>1058005194</v>
      </c>
    </row>
    <row r="51" spans="1:53" s="81" customFormat="1" ht="13.5">
      <c r="A51" s="1151" t="s">
        <v>334</v>
      </c>
      <c r="B51" s="1152">
        <f t="shared" ref="B51:O51" si="10">B47-B50</f>
        <v>4645550</v>
      </c>
      <c r="C51" s="1153">
        <f t="shared" si="10"/>
        <v>3761265</v>
      </c>
      <c r="D51" s="1156">
        <f t="shared" si="10"/>
        <v>146305</v>
      </c>
      <c r="E51" s="1159">
        <f t="shared" si="10"/>
        <v>-11983</v>
      </c>
      <c r="F51" s="1156">
        <f t="shared" si="10"/>
        <v>432498</v>
      </c>
      <c r="G51" s="1159">
        <f t="shared" si="10"/>
        <v>302877</v>
      </c>
      <c r="H51" s="1156">
        <f t="shared" si="10"/>
        <v>2256649</v>
      </c>
      <c r="I51" s="1159">
        <f t="shared" si="10"/>
        <v>5587568</v>
      </c>
      <c r="J51" s="1156">
        <f t="shared" si="10"/>
        <v>614261</v>
      </c>
      <c r="K51" s="1159">
        <f t="shared" si="10"/>
        <v>1374254</v>
      </c>
      <c r="L51" s="1156">
        <f t="shared" si="10"/>
        <v>1070984</v>
      </c>
      <c r="M51" s="1157">
        <f t="shared" si="10"/>
        <v>620581</v>
      </c>
      <c r="N51" s="1158">
        <f t="shared" si="10"/>
        <v>1399739</v>
      </c>
      <c r="O51" s="1157">
        <f t="shared" si="10"/>
        <v>-34510</v>
      </c>
      <c r="P51" s="1158">
        <f t="shared" ref="P51:Y51" si="11">P47-P50</f>
        <v>490309</v>
      </c>
      <c r="Q51" s="1157">
        <f t="shared" si="11"/>
        <v>715778</v>
      </c>
      <c r="R51" s="1158">
        <f t="shared" si="11"/>
        <v>2509378</v>
      </c>
      <c r="S51" s="1157">
        <f t="shared" si="11"/>
        <v>1655009</v>
      </c>
      <c r="T51" s="1158">
        <f t="shared" si="11"/>
        <v>389722</v>
      </c>
      <c r="U51" s="1157">
        <f t="shared" si="11"/>
        <v>331790</v>
      </c>
      <c r="V51" s="1158">
        <f t="shared" si="11"/>
        <v>-16662921</v>
      </c>
      <c r="W51" s="1157">
        <f t="shared" si="11"/>
        <v>-16693855</v>
      </c>
      <c r="X51" s="1158">
        <f t="shared" si="11"/>
        <v>-2656675</v>
      </c>
      <c r="Y51" s="1159">
        <f t="shared" si="11"/>
        <v>1298196</v>
      </c>
      <c r="Z51" s="1156">
        <v>2875484</v>
      </c>
      <c r="AA51" s="1159">
        <v>3705199</v>
      </c>
      <c r="AB51" s="1156">
        <v>246147</v>
      </c>
      <c r="AC51" s="1157">
        <v>1711927</v>
      </c>
      <c r="AD51" s="1158">
        <f>AD47-AD50</f>
        <v>-3976307</v>
      </c>
      <c r="AE51" s="1159">
        <f>AE47-AE50</f>
        <v>-7618325</v>
      </c>
      <c r="AF51" s="1156">
        <v>3763084</v>
      </c>
      <c r="AG51" s="1159">
        <f>AG47-AG50</f>
        <v>5091281</v>
      </c>
      <c r="AH51" s="1156">
        <v>-226386</v>
      </c>
      <c r="AI51" s="1157">
        <v>-1489177</v>
      </c>
      <c r="AJ51" s="1158">
        <v>1695459</v>
      </c>
      <c r="AK51" s="1159">
        <v>1813393</v>
      </c>
      <c r="AL51" s="1156">
        <f>AL47-AL50</f>
        <v>0</v>
      </c>
      <c r="AM51" s="1159">
        <f>AM47-AM50</f>
        <v>0</v>
      </c>
      <c r="AN51" s="1156">
        <f>AN47-AN50</f>
        <v>26899022</v>
      </c>
      <c r="AO51" s="1159">
        <f>AO47-AO50</f>
        <v>20069177</v>
      </c>
      <c r="AP51" s="1156">
        <f t="shared" ref="AP51:AU51" si="12">AP47-AP50</f>
        <v>1301362</v>
      </c>
      <c r="AQ51" s="1159">
        <f t="shared" si="12"/>
        <v>1704559</v>
      </c>
      <c r="AR51" s="1156">
        <f t="shared" si="12"/>
        <v>1584514</v>
      </c>
      <c r="AS51" s="1159">
        <f t="shared" si="12"/>
        <v>1615978</v>
      </c>
      <c r="AT51" s="1156">
        <f t="shared" si="12"/>
        <v>1523441</v>
      </c>
      <c r="AU51" s="1159">
        <f t="shared" si="12"/>
        <v>-911593</v>
      </c>
      <c r="AV51" s="1156">
        <f t="shared" si="0"/>
        <v>30321619</v>
      </c>
      <c r="AW51" s="1159">
        <f t="shared" si="1"/>
        <v>24599389</v>
      </c>
      <c r="AX51" s="1156">
        <f>AX47-AX50</f>
        <v>764043479</v>
      </c>
      <c r="AY51" s="1159">
        <f>AY47-AY50</f>
        <v>806139829</v>
      </c>
      <c r="AZ51" s="1156">
        <f t="shared" si="2"/>
        <v>794365098</v>
      </c>
      <c r="BA51" s="1157">
        <f t="shared" si="3"/>
        <v>830739218</v>
      </c>
    </row>
    <row r="52" spans="1:53">
      <c r="A52" s="417" t="s">
        <v>335</v>
      </c>
      <c r="B52" s="1148"/>
      <c r="C52" s="1149"/>
      <c r="D52" s="1146"/>
      <c r="E52" s="1145"/>
      <c r="F52" s="1146"/>
      <c r="G52" s="1145"/>
      <c r="H52" s="1146"/>
      <c r="I52" s="1145"/>
      <c r="J52" s="1146"/>
      <c r="K52" s="1145"/>
      <c r="L52" s="1146"/>
      <c r="M52" s="1147"/>
      <c r="N52" s="1144"/>
      <c r="O52" s="1147"/>
      <c r="P52" s="1144"/>
      <c r="Q52" s="1147"/>
      <c r="R52" s="1144"/>
      <c r="S52" s="1147"/>
      <c r="T52" s="1144"/>
      <c r="U52" s="1147"/>
      <c r="V52" s="1144"/>
      <c r="W52" s="1147"/>
      <c r="X52" s="1144"/>
      <c r="Y52" s="1145"/>
      <c r="Z52" s="1146"/>
      <c r="AA52" s="1145"/>
      <c r="AB52" s="1146"/>
      <c r="AC52" s="1147"/>
      <c r="AD52" s="1144"/>
      <c r="AE52" s="1145"/>
      <c r="AF52" s="1146"/>
      <c r="AG52" s="1145"/>
      <c r="AH52" s="1146"/>
      <c r="AI52" s="1147"/>
      <c r="AJ52" s="1144"/>
      <c r="AK52" s="1145"/>
      <c r="AL52" s="1146"/>
      <c r="AM52" s="1145"/>
      <c r="AN52" s="1146"/>
      <c r="AO52" s="1145"/>
      <c r="AP52" s="1146"/>
      <c r="AQ52" s="1145"/>
      <c r="AR52" s="1146"/>
      <c r="AS52" s="1145"/>
      <c r="AT52" s="1146"/>
      <c r="AU52" s="1145"/>
      <c r="AV52" s="1146">
        <f t="shared" si="0"/>
        <v>0</v>
      </c>
      <c r="AW52" s="1145">
        <f t="shared" si="1"/>
        <v>0</v>
      </c>
      <c r="AX52" s="1146"/>
      <c r="AY52" s="1145"/>
      <c r="AZ52" s="1146">
        <f t="shared" si="2"/>
        <v>0</v>
      </c>
      <c r="BA52" s="1147">
        <f t="shared" si="3"/>
        <v>0</v>
      </c>
    </row>
    <row r="53" spans="1:53">
      <c r="A53" s="417" t="s">
        <v>336</v>
      </c>
      <c r="B53" s="1148"/>
      <c r="C53" s="1149"/>
      <c r="D53" s="1146"/>
      <c r="E53" s="1145"/>
      <c r="F53" s="1146"/>
      <c r="G53" s="1145"/>
      <c r="H53" s="1146"/>
      <c r="I53" s="1145"/>
      <c r="J53" s="1146"/>
      <c r="K53" s="1145"/>
      <c r="L53" s="1146"/>
      <c r="M53" s="1147"/>
      <c r="N53" s="1144"/>
      <c r="O53" s="1147"/>
      <c r="P53" s="1144"/>
      <c r="Q53" s="1147"/>
      <c r="R53" s="1144"/>
      <c r="S53" s="1147"/>
      <c r="T53" s="1144"/>
      <c r="U53" s="1147"/>
      <c r="V53" s="1144"/>
      <c r="W53" s="1147"/>
      <c r="X53" s="1144"/>
      <c r="Y53" s="1145"/>
      <c r="Z53" s="1146"/>
      <c r="AA53" s="1145"/>
      <c r="AB53" s="1146"/>
      <c r="AC53" s="1147"/>
      <c r="AD53" s="1144"/>
      <c r="AE53" s="1145"/>
      <c r="AF53" s="1146"/>
      <c r="AG53" s="1145"/>
      <c r="AH53" s="1146"/>
      <c r="AI53" s="1147"/>
      <c r="AJ53" s="1144"/>
      <c r="AK53" s="1145"/>
      <c r="AL53" s="1146"/>
      <c r="AM53" s="1145"/>
      <c r="AN53" s="1146"/>
      <c r="AO53" s="1145"/>
      <c r="AP53" s="1146"/>
      <c r="AQ53" s="1145"/>
      <c r="AR53" s="1146"/>
      <c r="AS53" s="1145"/>
      <c r="AT53" s="1146"/>
      <c r="AU53" s="1145"/>
      <c r="AV53" s="1146">
        <f t="shared" si="0"/>
        <v>0</v>
      </c>
      <c r="AW53" s="1145">
        <f t="shared" si="1"/>
        <v>0</v>
      </c>
      <c r="AX53" s="1146"/>
      <c r="AY53" s="1145"/>
      <c r="AZ53" s="1146">
        <f t="shared" si="2"/>
        <v>0</v>
      </c>
      <c r="BA53" s="1147">
        <f t="shared" si="3"/>
        <v>0</v>
      </c>
    </row>
    <row r="54" spans="1:53">
      <c r="A54" s="417" t="s">
        <v>337</v>
      </c>
      <c r="B54" s="1148">
        <v>506544</v>
      </c>
      <c r="C54" s="1149"/>
      <c r="D54" s="1146">
        <v>5636674</v>
      </c>
      <c r="E54" s="1145">
        <v>6408541</v>
      </c>
      <c r="F54" s="1146">
        <v>12987502</v>
      </c>
      <c r="G54" s="1145">
        <v>13792889</v>
      </c>
      <c r="H54" s="1146"/>
      <c r="I54" s="1145"/>
      <c r="J54" s="1146">
        <v>25273644</v>
      </c>
      <c r="K54" s="1145">
        <v>27412812</v>
      </c>
      <c r="L54" s="1146"/>
      <c r="M54" s="1147"/>
      <c r="N54" s="1144">
        <v>1866091</v>
      </c>
      <c r="O54" s="1147">
        <v>2551176</v>
      </c>
      <c r="P54" s="1144">
        <v>11812324</v>
      </c>
      <c r="Q54" s="1147">
        <v>14668672</v>
      </c>
      <c r="R54" s="1144">
        <v>2509377</v>
      </c>
      <c r="S54" s="1147">
        <v>7488346</v>
      </c>
      <c r="T54" s="1144">
        <v>17189855</v>
      </c>
      <c r="U54" s="1147">
        <v>18282215</v>
      </c>
      <c r="V54" s="1144"/>
      <c r="W54" s="1147"/>
      <c r="X54" s="1144"/>
      <c r="Y54" s="1145"/>
      <c r="Z54" s="1146">
        <v>425</v>
      </c>
      <c r="AA54" s="1145">
        <v>14020</v>
      </c>
      <c r="AB54" s="1146">
        <v>1626059</v>
      </c>
      <c r="AC54" s="1147">
        <v>2109801</v>
      </c>
      <c r="AD54" s="1144"/>
      <c r="AE54" s="1145"/>
      <c r="AF54" s="1146"/>
      <c r="AG54" s="1145"/>
      <c r="AH54" s="1146">
        <v>7676533</v>
      </c>
      <c r="AI54" s="1147">
        <v>6634092</v>
      </c>
      <c r="AJ54" s="1144">
        <v>22243831</v>
      </c>
      <c r="AK54" s="1145">
        <v>2223845</v>
      </c>
      <c r="AL54" s="1146"/>
      <c r="AM54" s="1145"/>
      <c r="AN54" s="1146"/>
      <c r="AO54" s="1145"/>
      <c r="AP54" s="1146"/>
      <c r="AQ54" s="1145"/>
      <c r="AR54" s="1146"/>
      <c r="AS54" s="1145"/>
      <c r="AT54" s="1146"/>
      <c r="AU54" s="1145"/>
      <c r="AV54" s="1146">
        <f t="shared" si="0"/>
        <v>109328859</v>
      </c>
      <c r="AW54" s="1145">
        <f t="shared" si="1"/>
        <v>101586409</v>
      </c>
      <c r="AX54" s="1146"/>
      <c r="AY54" s="1145"/>
      <c r="AZ54" s="1146">
        <f t="shared" si="2"/>
        <v>109328859</v>
      </c>
      <c r="BA54" s="1147">
        <f t="shared" si="3"/>
        <v>101586409</v>
      </c>
    </row>
    <row r="55" spans="1:53">
      <c r="A55" s="417" t="s">
        <v>338</v>
      </c>
      <c r="B55" s="1148"/>
      <c r="C55" s="1149"/>
      <c r="D55" s="1146">
        <v>13575398</v>
      </c>
      <c r="E55" s="1145">
        <v>13712858</v>
      </c>
      <c r="F55" s="1146"/>
      <c r="G55" s="1145"/>
      <c r="H55" s="1146"/>
      <c r="I55" s="1145"/>
      <c r="J55" s="1146"/>
      <c r="K55" s="1145"/>
      <c r="L55" s="1146"/>
      <c r="M55" s="1147"/>
      <c r="N55" s="1144"/>
      <c r="O55" s="1147"/>
      <c r="P55" s="1144"/>
      <c r="Q55" s="1147"/>
      <c r="R55" s="1144"/>
      <c r="S55" s="1147"/>
      <c r="T55" s="1144"/>
      <c r="U55" s="1147"/>
      <c r="V55" s="1144"/>
      <c r="W55" s="1147"/>
      <c r="X55" s="1144"/>
      <c r="Y55" s="1145"/>
      <c r="Z55" s="1146">
        <v>425</v>
      </c>
      <c r="AA55" s="1145">
        <v>14020</v>
      </c>
      <c r="AB55" s="1146"/>
      <c r="AC55" s="1147">
        <v>77431</v>
      </c>
      <c r="AD55" s="1144"/>
      <c r="AE55" s="1145"/>
      <c r="AF55" s="1146"/>
      <c r="AG55" s="1145"/>
      <c r="AH55" s="1146"/>
      <c r="AI55" s="1147"/>
      <c r="AJ55" s="1144"/>
      <c r="AK55" s="1145"/>
      <c r="AL55" s="1146"/>
      <c r="AM55" s="1145"/>
      <c r="AN55" s="1146"/>
      <c r="AO55" s="1145"/>
      <c r="AP55" s="1146"/>
      <c r="AQ55" s="1145"/>
      <c r="AR55" s="1146"/>
      <c r="AS55" s="1145"/>
      <c r="AT55" s="1146"/>
      <c r="AU55" s="1145"/>
      <c r="AV55" s="1146">
        <f t="shared" si="0"/>
        <v>13575823</v>
      </c>
      <c r="AW55" s="1145">
        <f t="shared" si="1"/>
        <v>13804309</v>
      </c>
      <c r="AX55" s="1146"/>
      <c r="AY55" s="1145"/>
      <c r="AZ55" s="1146">
        <f t="shared" si="2"/>
        <v>13575823</v>
      </c>
      <c r="BA55" s="1147">
        <f t="shared" si="3"/>
        <v>13804309</v>
      </c>
    </row>
    <row r="56" spans="1:53" s="81" customFormat="1" ht="13.5">
      <c r="A56" s="1151" t="s">
        <v>328</v>
      </c>
      <c r="B56" s="1152">
        <v>417445163</v>
      </c>
      <c r="C56" s="1153">
        <v>453909001</v>
      </c>
      <c r="D56" s="1156">
        <v>45975461</v>
      </c>
      <c r="E56" s="1159">
        <v>49017818</v>
      </c>
      <c r="F56" s="1156">
        <v>108905417</v>
      </c>
      <c r="G56" s="1159">
        <v>110729871</v>
      </c>
      <c r="H56" s="1156">
        <v>585571708</v>
      </c>
      <c r="I56" s="1159">
        <v>616355428</v>
      </c>
      <c r="J56" s="1156">
        <v>86963630</v>
      </c>
      <c r="K56" s="1159">
        <v>104843381</v>
      </c>
      <c r="L56" s="1156">
        <v>157157844</v>
      </c>
      <c r="M56" s="1157">
        <v>170359666</v>
      </c>
      <c r="N56" s="1158">
        <v>48587391</v>
      </c>
      <c r="O56" s="1157">
        <v>54798540</v>
      </c>
      <c r="P56" s="1158">
        <v>42690270</v>
      </c>
      <c r="Q56" s="1157">
        <v>49980020</v>
      </c>
      <c r="R56" s="1158">
        <v>155668041</v>
      </c>
      <c r="S56" s="1157">
        <v>172098593</v>
      </c>
      <c r="T56" s="1158">
        <v>57076159</v>
      </c>
      <c r="U56" s="1157">
        <v>63537517</v>
      </c>
      <c r="V56" s="1158">
        <v>1283722587</v>
      </c>
      <c r="W56" s="1157">
        <v>1389385928</v>
      </c>
      <c r="X56" s="1158">
        <v>1630422344</v>
      </c>
      <c r="Y56" s="1159">
        <v>1695961095</v>
      </c>
      <c r="Z56" s="1156">
        <v>93887215</v>
      </c>
      <c r="AA56" s="1159">
        <v>104458887</v>
      </c>
      <c r="AB56" s="1156">
        <v>149285638</v>
      </c>
      <c r="AC56" s="1157">
        <v>158003188</v>
      </c>
      <c r="AD56" s="1158">
        <v>315972087</v>
      </c>
      <c r="AE56" s="1159">
        <v>369057901</v>
      </c>
      <c r="AF56" s="1156">
        <v>648257146</v>
      </c>
      <c r="AG56" s="1159">
        <v>744163698</v>
      </c>
      <c r="AH56" s="1156">
        <v>219099136</v>
      </c>
      <c r="AI56" s="1157">
        <v>245396482</v>
      </c>
      <c r="AJ56" s="1158">
        <v>209537942</v>
      </c>
      <c r="AK56" s="1159">
        <v>216215954</v>
      </c>
      <c r="AL56" s="1156">
        <v>1487675676</v>
      </c>
      <c r="AM56" s="1159"/>
      <c r="AN56" s="1156">
        <f>AN35</f>
        <v>1487675676</v>
      </c>
      <c r="AO56" s="1159">
        <f>AO35</f>
        <v>1765909964</v>
      </c>
      <c r="AP56" s="1156">
        <f t="shared" ref="AP56:AU56" si="13">AP35</f>
        <v>45046204</v>
      </c>
      <c r="AQ56" s="1159">
        <f t="shared" si="13"/>
        <v>53957403</v>
      </c>
      <c r="AR56" s="1156">
        <f t="shared" si="13"/>
        <v>87719536</v>
      </c>
      <c r="AS56" s="1159">
        <f t="shared" si="13"/>
        <v>100568759</v>
      </c>
      <c r="AT56" s="1156">
        <f t="shared" si="13"/>
        <v>300784217</v>
      </c>
      <c r="AU56" s="1159">
        <f t="shared" si="13"/>
        <v>352538309</v>
      </c>
      <c r="AV56" s="1156">
        <f t="shared" si="0"/>
        <v>9665126488</v>
      </c>
      <c r="AW56" s="1159">
        <f t="shared" si="1"/>
        <v>9041247403</v>
      </c>
      <c r="AX56" s="1156">
        <v>31337772086</v>
      </c>
      <c r="AY56" s="1159">
        <v>32809559252</v>
      </c>
      <c r="AZ56" s="1156">
        <f t="shared" si="2"/>
        <v>41002898574</v>
      </c>
      <c r="BA56" s="1157">
        <f t="shared" si="3"/>
        <v>41850806655</v>
      </c>
    </row>
    <row r="57" spans="1:53">
      <c r="A57" s="1151" t="s">
        <v>339</v>
      </c>
      <c r="B57" s="1144"/>
      <c r="C57" s="1145"/>
      <c r="D57" s="1146"/>
      <c r="E57" s="1145"/>
      <c r="F57" s="1146"/>
      <c r="G57" s="1145"/>
      <c r="H57" s="1146"/>
      <c r="I57" s="1145"/>
      <c r="J57" s="1146"/>
      <c r="K57" s="1145"/>
      <c r="L57" s="1146"/>
      <c r="M57" s="1147"/>
      <c r="N57" s="1144"/>
      <c r="O57" s="1147"/>
      <c r="P57" s="1144"/>
      <c r="Q57" s="1147"/>
      <c r="R57" s="1144"/>
      <c r="S57" s="1147"/>
      <c r="T57" s="1144"/>
      <c r="U57" s="1147"/>
      <c r="V57" s="1144"/>
      <c r="W57" s="1147"/>
      <c r="X57" s="1144">
        <v>8049054</v>
      </c>
      <c r="Y57" s="1145"/>
      <c r="Z57" s="1146"/>
      <c r="AA57" s="1145"/>
      <c r="AB57" s="1146"/>
      <c r="AC57" s="1147"/>
      <c r="AD57" s="1144"/>
      <c r="AE57" s="1145"/>
      <c r="AF57" s="1146"/>
      <c r="AG57" s="1145"/>
      <c r="AH57" s="1146"/>
      <c r="AI57" s="1147"/>
      <c r="AJ57" s="1144"/>
      <c r="AK57" s="1145"/>
      <c r="AL57" s="1146"/>
      <c r="AM57" s="1145"/>
      <c r="AN57" s="1146"/>
      <c r="AO57" s="1145"/>
      <c r="AP57" s="1146"/>
      <c r="AQ57" s="1145"/>
      <c r="AR57" s="1146"/>
      <c r="AS57" s="1145"/>
      <c r="AT57" s="1146"/>
      <c r="AU57" s="1145"/>
      <c r="AV57" s="1146">
        <f t="shared" si="0"/>
        <v>8049054</v>
      </c>
      <c r="AW57" s="1145">
        <f t="shared" si="1"/>
        <v>0</v>
      </c>
      <c r="AX57" s="1146"/>
      <c r="AY57" s="1145"/>
      <c r="AZ57" s="1146">
        <f t="shared" si="2"/>
        <v>8049054</v>
      </c>
      <c r="BA57" s="1147">
        <f t="shared" si="3"/>
        <v>0</v>
      </c>
    </row>
    <row r="58" spans="1:53">
      <c r="A58" s="1151" t="s">
        <v>0</v>
      </c>
      <c r="B58" s="1144"/>
      <c r="C58" s="1145"/>
      <c r="D58" s="1146"/>
      <c r="E58" s="1145"/>
      <c r="F58" s="1146"/>
      <c r="G58" s="1145"/>
      <c r="H58" s="1146"/>
      <c r="I58" s="1145"/>
      <c r="J58" s="1146"/>
      <c r="K58" s="1145"/>
      <c r="L58" s="1146"/>
      <c r="M58" s="1147"/>
      <c r="N58" s="1144"/>
      <c r="O58" s="1147"/>
      <c r="P58" s="1144"/>
      <c r="Q58" s="1147"/>
      <c r="R58" s="1144"/>
      <c r="S58" s="1147"/>
      <c r="T58" s="1144"/>
      <c r="U58" s="1147"/>
      <c r="V58" s="1144"/>
      <c r="W58" s="1147"/>
      <c r="X58" s="1144"/>
      <c r="Y58" s="1145"/>
      <c r="Z58" s="1146"/>
      <c r="AA58" s="1145"/>
      <c r="AB58" s="1146"/>
      <c r="AC58" s="1147"/>
      <c r="AD58" s="1144"/>
      <c r="AE58" s="1145"/>
      <c r="AF58" s="1146"/>
      <c r="AG58" s="1145"/>
      <c r="AH58" s="1146"/>
      <c r="AI58" s="1147"/>
      <c r="AJ58" s="1144"/>
      <c r="AK58" s="1145"/>
      <c r="AL58" s="1146"/>
      <c r="AM58" s="1145"/>
      <c r="AN58" s="1146"/>
      <c r="AO58" s="1145"/>
      <c r="AP58" s="1146"/>
      <c r="AQ58" s="1145"/>
      <c r="AR58" s="1146"/>
      <c r="AS58" s="1145"/>
      <c r="AT58" s="1146"/>
      <c r="AU58" s="1145"/>
      <c r="AV58" s="1146">
        <f t="shared" si="0"/>
        <v>0</v>
      </c>
      <c r="AW58" s="1145">
        <f t="shared" si="1"/>
        <v>0</v>
      </c>
      <c r="AX58" s="1146"/>
      <c r="AY58" s="1145"/>
      <c r="AZ58" s="1146">
        <f t="shared" si="2"/>
        <v>0</v>
      </c>
      <c r="BA58" s="1147">
        <f t="shared" si="3"/>
        <v>0</v>
      </c>
    </row>
    <row r="59" spans="1:53">
      <c r="A59" s="417" t="s">
        <v>340</v>
      </c>
      <c r="B59" s="1144">
        <v>7317539</v>
      </c>
      <c r="C59" s="1145">
        <v>6186187</v>
      </c>
      <c r="D59" s="1146"/>
      <c r="E59" s="1145"/>
      <c r="F59" s="1146"/>
      <c r="G59" s="1145"/>
      <c r="H59" s="1146"/>
      <c r="I59" s="1145"/>
      <c r="J59" s="1146"/>
      <c r="K59" s="1145"/>
      <c r="L59" s="1146"/>
      <c r="M59" s="1147"/>
      <c r="N59" s="1144">
        <v>949</v>
      </c>
      <c r="O59" s="1147">
        <v>949</v>
      </c>
      <c r="P59" s="1144"/>
      <c r="Q59" s="1147"/>
      <c r="R59" s="1144"/>
      <c r="S59" s="1147">
        <v>400000</v>
      </c>
      <c r="T59" s="1144"/>
      <c r="U59" s="1147"/>
      <c r="V59" s="1144">
        <v>14173536</v>
      </c>
      <c r="W59" s="1147">
        <v>22368509</v>
      </c>
      <c r="X59" s="1144">
        <v>6000000</v>
      </c>
      <c r="Y59" s="1145">
        <v>7500000</v>
      </c>
      <c r="Z59" s="1146"/>
      <c r="AA59" s="1145"/>
      <c r="AB59" s="1146"/>
      <c r="AC59" s="1147"/>
      <c r="AD59" s="1144">
        <v>3667155</v>
      </c>
      <c r="AE59" s="1145">
        <v>3100035</v>
      </c>
      <c r="AF59" s="1146"/>
      <c r="AG59" s="1145"/>
      <c r="AH59" s="1146">
        <v>2350000</v>
      </c>
      <c r="AI59" s="1147">
        <v>4550000</v>
      </c>
      <c r="AJ59" s="1144">
        <v>325998</v>
      </c>
      <c r="AK59" s="1145">
        <v>306930</v>
      </c>
      <c r="AL59" s="1146">
        <v>7600000</v>
      </c>
      <c r="AM59" s="1145"/>
      <c r="AN59" s="1146">
        <v>7600000</v>
      </c>
      <c r="AO59" s="1145">
        <v>8600000</v>
      </c>
      <c r="AP59" s="1146"/>
      <c r="AQ59" s="1145"/>
      <c r="AR59" s="1146"/>
      <c r="AS59" s="1145"/>
      <c r="AT59" s="1146"/>
      <c r="AU59" s="1145"/>
      <c r="AV59" s="1146">
        <f t="shared" si="0"/>
        <v>49035177</v>
      </c>
      <c r="AW59" s="1145">
        <f t="shared" si="1"/>
        <v>53012610</v>
      </c>
      <c r="AX59" s="1146">
        <v>2004</v>
      </c>
      <c r="AY59" s="1145">
        <f>AX59</f>
        <v>2004</v>
      </c>
      <c r="AZ59" s="1146">
        <f t="shared" si="2"/>
        <v>49037181</v>
      </c>
      <c r="BA59" s="1147">
        <f t="shared" si="3"/>
        <v>53014614</v>
      </c>
    </row>
    <row r="60" spans="1:53">
      <c r="A60" s="417" t="s">
        <v>341</v>
      </c>
      <c r="B60" s="1144">
        <v>22149</v>
      </c>
      <c r="C60" s="1145">
        <v>21967</v>
      </c>
      <c r="D60" s="1146"/>
      <c r="E60" s="1145"/>
      <c r="F60" s="1146">
        <v>11939</v>
      </c>
      <c r="G60" s="1145">
        <v>12841</v>
      </c>
      <c r="H60" s="1146"/>
      <c r="I60" s="1145"/>
      <c r="J60" s="1146"/>
      <c r="K60" s="1145"/>
      <c r="L60" s="1146"/>
      <c r="M60" s="1147"/>
      <c r="N60" s="1144">
        <v>1252</v>
      </c>
      <c r="O60" s="1147">
        <v>4001</v>
      </c>
      <c r="P60" s="1144"/>
      <c r="Q60" s="1147"/>
      <c r="R60" s="1144"/>
      <c r="S60" s="1147"/>
      <c r="T60" s="1144"/>
      <c r="U60" s="1147"/>
      <c r="V60" s="1144">
        <v>1523</v>
      </c>
      <c r="W60" s="1147">
        <v>1423</v>
      </c>
      <c r="X60" s="1144">
        <f>1034+43402+8082</f>
        <v>52518</v>
      </c>
      <c r="Y60" s="1145">
        <f>1176+41354+8523</f>
        <v>51053</v>
      </c>
      <c r="Z60" s="1146"/>
      <c r="AA60" s="1145"/>
      <c r="AB60" s="1146"/>
      <c r="AC60" s="1147"/>
      <c r="AD60" s="1144">
        <v>4113</v>
      </c>
      <c r="AE60" s="1145">
        <v>6087</v>
      </c>
      <c r="AF60" s="1146"/>
      <c r="AG60" s="1145"/>
      <c r="AH60" s="1146">
        <v>53162</v>
      </c>
      <c r="AI60" s="1147">
        <v>67541</v>
      </c>
      <c r="AJ60" s="1144">
        <v>9615</v>
      </c>
      <c r="AK60" s="1145">
        <v>8866</v>
      </c>
      <c r="AL60" s="1146">
        <v>10819</v>
      </c>
      <c r="AM60" s="1145"/>
      <c r="AN60" s="1146">
        <v>10819</v>
      </c>
      <c r="AO60" s="1145">
        <v>6911</v>
      </c>
      <c r="AP60" s="1146"/>
      <c r="AQ60" s="1145"/>
      <c r="AR60" s="1146">
        <v>7160</v>
      </c>
      <c r="AS60" s="1145">
        <v>7400</v>
      </c>
      <c r="AT60" s="1146">
        <v>20580</v>
      </c>
      <c r="AU60" s="1145">
        <v>14450</v>
      </c>
      <c r="AV60" s="1146">
        <f t="shared" si="0"/>
        <v>205649</v>
      </c>
      <c r="AW60" s="1145">
        <f t="shared" si="1"/>
        <v>202540</v>
      </c>
      <c r="AX60" s="1146">
        <v>53033</v>
      </c>
      <c r="AY60" s="1145">
        <v>133286</v>
      </c>
      <c r="AZ60" s="1146">
        <f t="shared" si="2"/>
        <v>258682</v>
      </c>
      <c r="BA60" s="1147">
        <f t="shared" si="3"/>
        <v>335826</v>
      </c>
    </row>
    <row r="61" spans="1:53">
      <c r="A61" s="417" t="s">
        <v>342</v>
      </c>
      <c r="B61" s="1144"/>
      <c r="C61" s="1145"/>
      <c r="D61" s="1146"/>
      <c r="E61" s="1145"/>
      <c r="F61" s="1146"/>
      <c r="G61" s="1145"/>
      <c r="H61" s="1146"/>
      <c r="I61" s="1145"/>
      <c r="J61" s="1146"/>
      <c r="K61" s="1145"/>
      <c r="L61" s="1146"/>
      <c r="M61" s="1147"/>
      <c r="N61" s="1144"/>
      <c r="O61" s="1147"/>
      <c r="P61" s="1144"/>
      <c r="Q61" s="1147"/>
      <c r="R61" s="1144"/>
      <c r="S61" s="1147"/>
      <c r="T61" s="1144"/>
      <c r="U61" s="1147">
        <v>12492</v>
      </c>
      <c r="V61" s="1144"/>
      <c r="W61" s="1147"/>
      <c r="X61" s="1144"/>
      <c r="Y61" s="1145"/>
      <c r="Z61" s="1146"/>
      <c r="AA61" s="1145"/>
      <c r="AB61" s="1146"/>
      <c r="AC61" s="1147"/>
      <c r="AD61" s="1144"/>
      <c r="AE61" s="1145"/>
      <c r="AF61" s="1146"/>
      <c r="AG61" s="1145"/>
      <c r="AH61" s="1146"/>
      <c r="AI61" s="1147"/>
      <c r="AJ61" s="1144"/>
      <c r="AK61" s="1145"/>
      <c r="AL61" s="1146"/>
      <c r="AM61" s="1145"/>
      <c r="AN61" s="1146"/>
      <c r="AO61" s="1145"/>
      <c r="AP61" s="1146"/>
      <c r="AQ61" s="1145"/>
      <c r="AR61" s="1146"/>
      <c r="AS61" s="1145"/>
      <c r="AT61" s="1146"/>
      <c r="AU61" s="1145"/>
      <c r="AV61" s="1146">
        <f t="shared" si="0"/>
        <v>0</v>
      </c>
      <c r="AW61" s="1145">
        <f t="shared" si="1"/>
        <v>12492</v>
      </c>
      <c r="AX61" s="1146"/>
      <c r="AY61" s="1145"/>
      <c r="AZ61" s="1146">
        <f t="shared" si="2"/>
        <v>0</v>
      </c>
      <c r="BA61" s="1147">
        <f t="shared" si="3"/>
        <v>12492</v>
      </c>
    </row>
    <row r="62" spans="1:53">
      <c r="A62" s="417" t="s">
        <v>343</v>
      </c>
      <c r="B62" s="1144">
        <v>2500</v>
      </c>
      <c r="C62" s="1145">
        <v>2500</v>
      </c>
      <c r="D62" s="1146">
        <v>2500</v>
      </c>
      <c r="E62" s="1145">
        <v>2500</v>
      </c>
      <c r="F62" s="1146"/>
      <c r="G62" s="1145"/>
      <c r="H62" s="1146"/>
      <c r="I62" s="1145"/>
      <c r="J62" s="1146"/>
      <c r="K62" s="1145"/>
      <c r="L62" s="1146"/>
      <c r="M62" s="1147"/>
      <c r="N62" s="1144"/>
      <c r="O62" s="1147"/>
      <c r="P62" s="1144"/>
      <c r="Q62" s="1147"/>
      <c r="R62" s="1144"/>
      <c r="S62" s="1147"/>
      <c r="T62" s="1144"/>
      <c r="U62" s="1147"/>
      <c r="V62" s="1144">
        <v>3437</v>
      </c>
      <c r="W62" s="1147">
        <v>3524</v>
      </c>
      <c r="X62" s="1144"/>
      <c r="Y62" s="1145"/>
      <c r="Z62" s="1146"/>
      <c r="AA62" s="1145"/>
      <c r="AB62" s="1146"/>
      <c r="AC62" s="1147"/>
      <c r="AD62" s="1144">
        <v>4358</v>
      </c>
      <c r="AE62" s="1145">
        <v>4504</v>
      </c>
      <c r="AF62" s="1146"/>
      <c r="AG62" s="1145"/>
      <c r="AH62" s="1146">
        <v>2500</v>
      </c>
      <c r="AI62" s="1147">
        <v>2500</v>
      </c>
      <c r="AJ62" s="1144">
        <v>993</v>
      </c>
      <c r="AK62" s="1145">
        <v>1126</v>
      </c>
      <c r="AL62" s="1146"/>
      <c r="AM62" s="1145"/>
      <c r="AN62" s="1146"/>
      <c r="AO62" s="1145"/>
      <c r="AP62" s="1146"/>
      <c r="AQ62" s="1145"/>
      <c r="AR62" s="1146"/>
      <c r="AS62" s="1145"/>
      <c r="AT62" s="1146">
        <v>8210</v>
      </c>
      <c r="AU62" s="1145">
        <v>8560</v>
      </c>
      <c r="AV62" s="1146">
        <f t="shared" si="0"/>
        <v>24498</v>
      </c>
      <c r="AW62" s="1145">
        <f t="shared" si="1"/>
        <v>25214</v>
      </c>
      <c r="AX62" s="1146"/>
      <c r="AY62" s="1145"/>
      <c r="AZ62" s="1146">
        <f t="shared" si="2"/>
        <v>24498</v>
      </c>
      <c r="BA62" s="1147">
        <f t="shared" si="3"/>
        <v>25214</v>
      </c>
    </row>
    <row r="63" spans="1:53">
      <c r="A63" s="417" t="s">
        <v>350</v>
      </c>
      <c r="B63" s="1144"/>
      <c r="C63" s="1145"/>
      <c r="D63" s="1146">
        <v>82052</v>
      </c>
      <c r="E63" s="1145">
        <v>82052</v>
      </c>
      <c r="F63" s="1146"/>
      <c r="G63" s="1145"/>
      <c r="H63" s="1146">
        <v>87126</v>
      </c>
      <c r="I63" s="1145"/>
      <c r="J63" s="1146"/>
      <c r="K63" s="1145"/>
      <c r="L63" s="1146">
        <v>1925</v>
      </c>
      <c r="M63" s="1147">
        <v>5050</v>
      </c>
      <c r="N63" s="1144">
        <v>105721</v>
      </c>
      <c r="O63" s="1147">
        <v>164839</v>
      </c>
      <c r="P63" s="1144">
        <v>35660</v>
      </c>
      <c r="Q63" s="1147">
        <v>35407</v>
      </c>
      <c r="R63" s="1144">
        <v>2876459</v>
      </c>
      <c r="S63" s="1147">
        <v>2535645</v>
      </c>
      <c r="T63" s="1144">
        <v>48114</v>
      </c>
      <c r="U63" s="1147">
        <v>42627</v>
      </c>
      <c r="V63" s="1144">
        <v>966503</v>
      </c>
      <c r="W63" s="1147">
        <v>909593</v>
      </c>
      <c r="X63" s="1144">
        <v>4536996</v>
      </c>
      <c r="Y63" s="1145">
        <v>1536996</v>
      </c>
      <c r="Z63" s="1146">
        <v>511689</v>
      </c>
      <c r="AA63" s="1145">
        <v>510602</v>
      </c>
      <c r="AB63" s="1146">
        <v>451179</v>
      </c>
      <c r="AC63" s="1147">
        <v>280802</v>
      </c>
      <c r="AD63" s="1144">
        <v>1422013</v>
      </c>
      <c r="AE63" s="1145">
        <v>2147997</v>
      </c>
      <c r="AF63" s="1146"/>
      <c r="AG63" s="1145"/>
      <c r="AH63" s="1146">
        <v>3339267</v>
      </c>
      <c r="AI63" s="1147">
        <v>150627</v>
      </c>
      <c r="AJ63" s="1144">
        <v>1731287</v>
      </c>
      <c r="AK63" s="1145">
        <v>1611323</v>
      </c>
      <c r="AL63" s="1146"/>
      <c r="AM63" s="1145"/>
      <c r="AN63" s="1146"/>
      <c r="AO63" s="1145"/>
      <c r="AP63" s="1146"/>
      <c r="AQ63" s="1145"/>
      <c r="AR63" s="1146">
        <v>764665</v>
      </c>
      <c r="AS63" s="1145">
        <v>643119</v>
      </c>
      <c r="AT63" s="1146"/>
      <c r="AU63" s="1145"/>
      <c r="AV63" s="1146">
        <f t="shared" si="0"/>
        <v>16960656</v>
      </c>
      <c r="AW63" s="1145">
        <f t="shared" si="1"/>
        <v>10656679</v>
      </c>
      <c r="AX63" s="1146">
        <v>190850146</v>
      </c>
      <c r="AY63" s="1145">
        <v>253170268</v>
      </c>
      <c r="AZ63" s="1146">
        <f t="shared" si="2"/>
        <v>207810802</v>
      </c>
      <c r="BA63" s="1147">
        <f t="shared" si="3"/>
        <v>263826947</v>
      </c>
    </row>
    <row r="64" spans="1:53">
      <c r="A64" s="417" t="s">
        <v>344</v>
      </c>
      <c r="B64" s="1144"/>
      <c r="C64" s="1145"/>
      <c r="D64" s="1146"/>
      <c r="E64" s="1145"/>
      <c r="F64" s="1146"/>
      <c r="G64" s="1145"/>
      <c r="H64" s="1146"/>
      <c r="I64" s="1145"/>
      <c r="J64" s="1146"/>
      <c r="K64" s="1145"/>
      <c r="L64" s="1146">
        <v>1376016</v>
      </c>
      <c r="M64" s="1147">
        <v>1454411</v>
      </c>
      <c r="N64" s="1144"/>
      <c r="O64" s="1147"/>
      <c r="P64" s="1144"/>
      <c r="Q64" s="1147"/>
      <c r="R64" s="1144"/>
      <c r="S64" s="1147"/>
      <c r="T64" s="1144"/>
      <c r="U64" s="1147"/>
      <c r="V64" s="1144"/>
      <c r="W64" s="1147"/>
      <c r="X64" s="1144"/>
      <c r="Y64" s="1145"/>
      <c r="Z64" s="1146"/>
      <c r="AA64" s="1145"/>
      <c r="AB64" s="1146"/>
      <c r="AC64" s="1147"/>
      <c r="AD64" s="1144"/>
      <c r="AE64" s="1145"/>
      <c r="AF64" s="1146"/>
      <c r="AG64" s="1145"/>
      <c r="AH64" s="1146"/>
      <c r="AI64" s="1147"/>
      <c r="AJ64" s="1144"/>
      <c r="AK64" s="1145"/>
      <c r="AL64" s="1146"/>
      <c r="AM64" s="1145"/>
      <c r="AN64" s="1146"/>
      <c r="AO64" s="1145"/>
      <c r="AP64" s="1146"/>
      <c r="AQ64" s="1145"/>
      <c r="AR64" s="1146"/>
      <c r="AS64" s="1145"/>
      <c r="AT64" s="1146"/>
      <c r="AU64" s="1145"/>
      <c r="AV64" s="1146">
        <f t="shared" si="0"/>
        <v>1376016</v>
      </c>
      <c r="AW64" s="1145">
        <f t="shared" si="1"/>
        <v>1454411</v>
      </c>
      <c r="AX64" s="1146"/>
      <c r="AY64" s="1145"/>
      <c r="AZ64" s="1146">
        <f t="shared" si="2"/>
        <v>1376016</v>
      </c>
      <c r="BA64" s="1147">
        <f t="shared" si="3"/>
        <v>1454411</v>
      </c>
    </row>
    <row r="65" spans="1:53">
      <c r="A65" s="417" t="s">
        <v>349</v>
      </c>
      <c r="B65" s="1144"/>
      <c r="C65" s="1145"/>
      <c r="D65" s="1146">
        <v>62541</v>
      </c>
      <c r="E65" s="1145">
        <v>61633</v>
      </c>
      <c r="F65" s="1146">
        <v>305630</v>
      </c>
      <c r="G65" s="1145">
        <v>221258</v>
      </c>
      <c r="H65" s="1146">
        <v>469237</v>
      </c>
      <c r="I65" s="1145">
        <v>499722</v>
      </c>
      <c r="J65" s="1146"/>
      <c r="K65" s="1145"/>
      <c r="L65" s="1146">
        <v>188038</v>
      </c>
      <c r="M65" s="1147">
        <v>234873</v>
      </c>
      <c r="N65" s="1144"/>
      <c r="O65" s="1147"/>
      <c r="P65" s="1144"/>
      <c r="Q65" s="1147"/>
      <c r="R65" s="1144"/>
      <c r="S65" s="1147"/>
      <c r="T65" s="1144">
        <v>6049</v>
      </c>
      <c r="U65" s="1147">
        <v>74609</v>
      </c>
      <c r="V65" s="1144"/>
      <c r="W65" s="1147"/>
      <c r="X65" s="1144">
        <f>73767+385773</f>
        <v>459540</v>
      </c>
      <c r="Y65" s="1145">
        <f>59019+579609</f>
        <v>638628</v>
      </c>
      <c r="Z65" s="1146"/>
      <c r="AA65" s="1145"/>
      <c r="AB65" s="1146">
        <v>339960</v>
      </c>
      <c r="AC65" s="1147">
        <v>361068</v>
      </c>
      <c r="AD65" s="1144"/>
      <c r="AE65" s="1145"/>
      <c r="AF65" s="1146"/>
      <c r="AG65" s="1145"/>
      <c r="AH65" s="1146"/>
      <c r="AI65" s="1147"/>
      <c r="AJ65" s="1144"/>
      <c r="AK65" s="1145"/>
      <c r="AL65" s="1146"/>
      <c r="AM65" s="1145"/>
      <c r="AN65" s="1146"/>
      <c r="AO65" s="1145"/>
      <c r="AP65" s="1146"/>
      <c r="AQ65" s="1145"/>
      <c r="AR65" s="1146"/>
      <c r="AS65" s="1145"/>
      <c r="AT65" s="1146"/>
      <c r="AU65" s="1145"/>
      <c r="AV65" s="1146">
        <f t="shared" si="0"/>
        <v>1830995</v>
      </c>
      <c r="AW65" s="1145">
        <f t="shared" si="1"/>
        <v>2091791</v>
      </c>
      <c r="AX65" s="1146"/>
      <c r="AY65" s="1145"/>
      <c r="AZ65" s="1146">
        <f t="shared" si="2"/>
        <v>1830995</v>
      </c>
      <c r="BA65" s="1147">
        <f t="shared" si="3"/>
        <v>2091791</v>
      </c>
    </row>
    <row r="66" spans="1:53">
      <c r="A66" s="417" t="s">
        <v>75</v>
      </c>
      <c r="B66" s="1144">
        <v>427972</v>
      </c>
      <c r="C66" s="1145">
        <v>443705</v>
      </c>
      <c r="D66" s="1146">
        <v>1928</v>
      </c>
      <c r="E66" s="1145">
        <v>1928</v>
      </c>
      <c r="F66" s="1146"/>
      <c r="G66" s="1145"/>
      <c r="H66" s="1146">
        <v>78215</v>
      </c>
      <c r="I66" s="1145">
        <v>55015</v>
      </c>
      <c r="J66" s="1146"/>
      <c r="K66" s="1145"/>
      <c r="L66" s="1146"/>
      <c r="M66" s="1147"/>
      <c r="N66" s="1144">
        <f>123247+8115</f>
        <v>131362</v>
      </c>
      <c r="O66" s="1147">
        <f>8115+126935</f>
        <v>135050</v>
      </c>
      <c r="P66" s="1144">
        <v>8864</v>
      </c>
      <c r="Q66" s="1147">
        <v>3934</v>
      </c>
      <c r="R66" s="1144">
        <f>245130+583767</f>
        <v>828897</v>
      </c>
      <c r="S66" s="1147">
        <f>271274+673681</f>
        <v>944955</v>
      </c>
      <c r="T66" s="1144"/>
      <c r="U66" s="1147"/>
      <c r="V66" s="1144">
        <v>347688</v>
      </c>
      <c r="W66" s="1147">
        <v>384411</v>
      </c>
      <c r="X66" s="1144"/>
      <c r="Y66" s="1145"/>
      <c r="Z66" s="1146">
        <v>127250</v>
      </c>
      <c r="AA66" s="1145">
        <v>145524</v>
      </c>
      <c r="AB66" s="1146"/>
      <c r="AC66" s="1147"/>
      <c r="AD66" s="1144">
        <v>137037</v>
      </c>
      <c r="AE66" s="1145">
        <v>124239</v>
      </c>
      <c r="AF66" s="1146"/>
      <c r="AG66" s="1145"/>
      <c r="AH66" s="1146">
        <v>376858</v>
      </c>
      <c r="AI66" s="1147">
        <v>405635</v>
      </c>
      <c r="AJ66" s="1144">
        <v>314252</v>
      </c>
      <c r="AK66" s="1145">
        <v>328397</v>
      </c>
      <c r="AL66" s="1146">
        <f>1073512+3741657</f>
        <v>4815169</v>
      </c>
      <c r="AM66" s="1145"/>
      <c r="AN66" s="1146">
        <f>1073512+3741657</f>
        <v>4815169</v>
      </c>
      <c r="AO66" s="1145">
        <f>1182566+3778849</f>
        <v>4961415</v>
      </c>
      <c r="AP66" s="1146">
        <v>60981</v>
      </c>
      <c r="AQ66" s="1145">
        <v>62208</v>
      </c>
      <c r="AR66" s="1146">
        <f>101984+25308</f>
        <v>127292</v>
      </c>
      <c r="AS66" s="1145">
        <f>63135+19362</f>
        <v>82497</v>
      </c>
      <c r="AT66" s="1146">
        <f>1669+33283+99073</f>
        <v>134025</v>
      </c>
      <c r="AU66" s="1145">
        <f>1555+27056+115854</f>
        <v>144465</v>
      </c>
      <c r="AV66" s="1146">
        <f t="shared" si="0"/>
        <v>12732959</v>
      </c>
      <c r="AW66" s="1145">
        <f t="shared" si="1"/>
        <v>8223378</v>
      </c>
      <c r="AX66" s="1146">
        <v>4360072</v>
      </c>
      <c r="AY66" s="1145">
        <f>3999186+553166</f>
        <v>4552352</v>
      </c>
      <c r="AZ66" s="1146">
        <f t="shared" si="2"/>
        <v>17093031</v>
      </c>
      <c r="BA66" s="1147">
        <f t="shared" si="3"/>
        <v>12775730</v>
      </c>
    </row>
    <row r="67" spans="1:53" s="81" customFormat="1" thickBot="1">
      <c r="A67" s="1160" t="s">
        <v>54</v>
      </c>
      <c r="B67" s="1161"/>
      <c r="C67" s="1162"/>
      <c r="D67" s="1163">
        <v>149021</v>
      </c>
      <c r="E67" s="1162">
        <v>148113</v>
      </c>
      <c r="F67" s="1163"/>
      <c r="G67" s="1162"/>
      <c r="H67" s="1163">
        <v>634578</v>
      </c>
      <c r="I67" s="1162">
        <v>554827</v>
      </c>
      <c r="J67" s="1163"/>
      <c r="K67" s="1162"/>
      <c r="L67" s="1163">
        <v>1565979</v>
      </c>
      <c r="M67" s="1164">
        <v>1694334</v>
      </c>
      <c r="N67" s="1161">
        <v>239284</v>
      </c>
      <c r="O67" s="1164">
        <v>304840</v>
      </c>
      <c r="P67" s="1161"/>
      <c r="Q67" s="1164"/>
      <c r="R67" s="1161">
        <v>3705356</v>
      </c>
      <c r="S67" s="1164">
        <v>3880600</v>
      </c>
      <c r="T67" s="1161">
        <v>54163</v>
      </c>
      <c r="U67" s="1164">
        <v>1040839</v>
      </c>
      <c r="V67" s="1161">
        <v>15492667</v>
      </c>
      <c r="W67" s="1164">
        <v>23667460</v>
      </c>
      <c r="X67" s="1161">
        <v>8049054</v>
      </c>
      <c r="Y67" s="1162">
        <v>9726677</v>
      </c>
      <c r="Z67" s="1163">
        <v>638939</v>
      </c>
      <c r="AA67" s="1162">
        <v>656126</v>
      </c>
      <c r="AB67" s="1163"/>
      <c r="AC67" s="1164"/>
      <c r="AD67" s="1161">
        <v>5234676</v>
      </c>
      <c r="AE67" s="1162">
        <v>5382862</v>
      </c>
      <c r="AF67" s="1163"/>
      <c r="AG67" s="1162"/>
      <c r="AH67" s="1163">
        <v>6121787</v>
      </c>
      <c r="AI67" s="1164">
        <v>5176303</v>
      </c>
      <c r="AJ67" s="1161">
        <v>2382145</v>
      </c>
      <c r="AK67" s="1162">
        <v>2256642</v>
      </c>
      <c r="AL67" s="1163">
        <v>12425988</v>
      </c>
      <c r="AM67" s="1162"/>
      <c r="AN67" s="1163">
        <v>12425988</v>
      </c>
      <c r="AO67" s="1162">
        <v>13568325</v>
      </c>
      <c r="AP67" s="1163">
        <v>60981</v>
      </c>
      <c r="AQ67" s="1162">
        <v>62208</v>
      </c>
      <c r="AR67" s="1163"/>
      <c r="AS67" s="1162"/>
      <c r="AT67" s="1163">
        <v>162815</v>
      </c>
      <c r="AU67" s="1162">
        <v>167475</v>
      </c>
      <c r="AV67" s="1163">
        <f t="shared" si="0"/>
        <v>69343421</v>
      </c>
      <c r="AW67" s="1162">
        <f t="shared" si="1"/>
        <v>68287631</v>
      </c>
      <c r="AX67" s="1163">
        <v>195265255</v>
      </c>
      <c r="AY67" s="1162">
        <v>195265255</v>
      </c>
      <c r="AZ67" s="1163">
        <f t="shared" si="2"/>
        <v>264608676</v>
      </c>
      <c r="BA67" s="1164">
        <f t="shared" si="3"/>
        <v>263552886</v>
      </c>
    </row>
  </sheetData>
  <mergeCells count="26">
    <mergeCell ref="AX1:AY1"/>
    <mergeCell ref="AZ1:BA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14"/>
  <sheetViews>
    <sheetView workbookViewId="0">
      <pane xSplit="1" topLeftCell="AX1" activePane="topRight" state="frozen"/>
      <selection pane="topRight" activeCell="AX13" sqref="AX13"/>
    </sheetView>
    <sheetView topLeftCell="X1" workbookViewId="1">
      <selection sqref="A1:BA1"/>
    </sheetView>
  </sheetViews>
  <sheetFormatPr defaultRowHeight="15"/>
  <cols>
    <col min="1" max="1" width="30.42578125" bestFit="1" customWidth="1"/>
    <col min="2" max="53" width="11.7109375" bestFit="1" customWidth="1"/>
    <col min="54" max="54" width="10.7109375" customWidth="1"/>
    <col min="55" max="55" width="12" customWidth="1"/>
  </cols>
  <sheetData>
    <row r="1" spans="1:53" s="94" customFormat="1" ht="18">
      <c r="A1" s="1203" t="s">
        <v>58</v>
      </c>
      <c r="B1" s="1203"/>
      <c r="C1" s="1203"/>
      <c r="D1" s="1203"/>
      <c r="E1" s="1203"/>
      <c r="F1" s="1203"/>
      <c r="G1" s="1203"/>
      <c r="H1" s="1203"/>
      <c r="I1" s="1203"/>
      <c r="J1" s="1203"/>
      <c r="K1" s="1203"/>
      <c r="L1" s="1203"/>
      <c r="M1" s="1203"/>
      <c r="N1" s="1203"/>
      <c r="O1" s="1203"/>
      <c r="P1" s="1203"/>
      <c r="Q1" s="1203"/>
      <c r="R1" s="1203"/>
      <c r="S1" s="1203"/>
      <c r="T1" s="1203"/>
      <c r="U1" s="1203"/>
      <c r="V1" s="1203"/>
      <c r="W1" s="1203"/>
      <c r="X1" s="1203"/>
      <c r="Y1" s="1203"/>
      <c r="Z1" s="1203"/>
      <c r="AA1" s="1203"/>
      <c r="AB1" s="1203"/>
      <c r="AC1" s="1203"/>
      <c r="AD1" s="1203"/>
      <c r="AE1" s="1203"/>
      <c r="AF1" s="1203"/>
      <c r="AG1" s="1203"/>
      <c r="AH1" s="1203"/>
      <c r="AI1" s="1203"/>
      <c r="AJ1" s="1203"/>
      <c r="AK1" s="1203"/>
      <c r="AL1" s="1203"/>
      <c r="AM1" s="1203"/>
      <c r="AN1" s="1203"/>
      <c r="AO1" s="1203"/>
      <c r="AP1" s="1203"/>
      <c r="AQ1" s="1203"/>
      <c r="AR1" s="1203"/>
      <c r="AS1" s="1203"/>
      <c r="AT1" s="1203"/>
      <c r="AU1" s="1203"/>
      <c r="AV1" s="1203"/>
      <c r="AW1" s="1203"/>
      <c r="AX1" s="1203"/>
      <c r="AY1" s="1203"/>
      <c r="AZ1" s="1203"/>
      <c r="BA1" s="1203"/>
    </row>
    <row r="2" spans="1:53" s="472" customFormat="1" ht="18" thickBot="1">
      <c r="A2" s="1237" t="s">
        <v>59</v>
      </c>
      <c r="B2" s="1237"/>
      <c r="C2" s="1237"/>
      <c r="D2" s="1237"/>
      <c r="E2" s="1237"/>
      <c r="F2" s="1237"/>
      <c r="G2" s="1237"/>
      <c r="H2" s="1237"/>
      <c r="I2" s="1237"/>
      <c r="J2" s="1237"/>
      <c r="K2" s="1237"/>
      <c r="L2" s="1237"/>
      <c r="M2" s="1237"/>
      <c r="N2" s="1237"/>
      <c r="O2" s="1237"/>
      <c r="P2" s="1237"/>
      <c r="Q2" s="1237"/>
      <c r="R2" s="1237"/>
      <c r="S2" s="1237"/>
      <c r="T2" s="1237"/>
      <c r="U2" s="1237"/>
      <c r="V2" s="1237"/>
      <c r="W2" s="1237"/>
      <c r="X2" s="1237"/>
      <c r="Y2" s="1237"/>
      <c r="Z2" s="1237"/>
      <c r="AA2" s="1237"/>
      <c r="AB2" s="1237"/>
      <c r="AC2" s="1237"/>
      <c r="AD2" s="1237"/>
      <c r="AE2" s="1237"/>
      <c r="AF2" s="1237"/>
      <c r="AG2" s="1237"/>
      <c r="AH2" s="1237"/>
      <c r="AI2" s="1237"/>
      <c r="AJ2" s="1237"/>
      <c r="AK2" s="1237"/>
      <c r="AL2" s="1237"/>
      <c r="AM2" s="1237"/>
      <c r="AN2" s="1237"/>
      <c r="AO2" s="1237"/>
      <c r="AP2" s="1237"/>
      <c r="AQ2" s="1237"/>
      <c r="AR2" s="1237"/>
      <c r="AS2" s="1237"/>
      <c r="AT2" s="1237"/>
      <c r="AU2" s="1237"/>
      <c r="AV2" s="1237"/>
      <c r="AW2" s="1237"/>
      <c r="AX2" s="1237"/>
      <c r="AY2" s="1237"/>
      <c r="AZ2" s="1237"/>
      <c r="BA2" s="1237"/>
    </row>
    <row r="3" spans="1:53" s="94" customFormat="1" ht="62.25" customHeight="1" thickBot="1">
      <c r="A3" s="1238" t="s">
        <v>0</v>
      </c>
      <c r="B3" s="1234" t="s">
        <v>164</v>
      </c>
      <c r="C3" s="1236"/>
      <c r="D3" s="1234" t="s">
        <v>165</v>
      </c>
      <c r="E3" s="1235"/>
      <c r="F3" s="1234" t="s">
        <v>166</v>
      </c>
      <c r="G3" s="1235"/>
      <c r="H3" s="1234" t="s">
        <v>167</v>
      </c>
      <c r="I3" s="1236"/>
      <c r="J3" s="1234" t="s">
        <v>168</v>
      </c>
      <c r="K3" s="1235"/>
      <c r="L3" s="1234" t="s">
        <v>169</v>
      </c>
      <c r="M3" s="1236"/>
      <c r="N3" s="1234" t="s">
        <v>371</v>
      </c>
      <c r="O3" s="1235"/>
      <c r="P3" s="1236" t="s">
        <v>171</v>
      </c>
      <c r="Q3" s="1236"/>
      <c r="R3" s="1234" t="s">
        <v>172</v>
      </c>
      <c r="S3" s="1235"/>
      <c r="T3" s="1234" t="s">
        <v>173</v>
      </c>
      <c r="U3" s="1235"/>
      <c r="V3" s="1234" t="s">
        <v>174</v>
      </c>
      <c r="W3" s="1236"/>
      <c r="X3" s="1234" t="s">
        <v>175</v>
      </c>
      <c r="Y3" s="1235"/>
      <c r="Z3" s="1234" t="s">
        <v>176</v>
      </c>
      <c r="AA3" s="1236"/>
      <c r="AB3" s="1234" t="s">
        <v>177</v>
      </c>
      <c r="AC3" s="1235"/>
      <c r="AD3" s="1230" t="s">
        <v>178</v>
      </c>
      <c r="AE3" s="1231"/>
      <c r="AF3" s="1234" t="s">
        <v>179</v>
      </c>
      <c r="AG3" s="1235"/>
      <c r="AH3" s="1234" t="s">
        <v>180</v>
      </c>
      <c r="AI3" s="1236"/>
      <c r="AJ3" s="1234" t="s">
        <v>181</v>
      </c>
      <c r="AK3" s="1235"/>
      <c r="AL3" s="1230" t="s">
        <v>182</v>
      </c>
      <c r="AM3" s="1231"/>
      <c r="AN3" s="1232" t="s">
        <v>183</v>
      </c>
      <c r="AO3" s="1233"/>
      <c r="AP3" s="1234" t="s">
        <v>184</v>
      </c>
      <c r="AQ3" s="1235"/>
      <c r="AR3" s="1234" t="s">
        <v>185</v>
      </c>
      <c r="AS3" s="1236"/>
      <c r="AT3" s="1236" t="s">
        <v>186</v>
      </c>
      <c r="AU3" s="1235"/>
      <c r="AV3" s="1234" t="s">
        <v>1</v>
      </c>
      <c r="AW3" s="1235"/>
      <c r="AX3" s="1230" t="s">
        <v>187</v>
      </c>
      <c r="AY3" s="1231"/>
      <c r="AZ3" s="1230" t="s">
        <v>2</v>
      </c>
      <c r="BA3" s="1231"/>
    </row>
    <row r="4" spans="1:53" s="475" customFormat="1" ht="15.75" thickBot="1">
      <c r="A4" s="1239"/>
      <c r="B4" s="466" t="s">
        <v>295</v>
      </c>
      <c r="C4" s="467" t="s">
        <v>363</v>
      </c>
      <c r="D4" s="466" t="s">
        <v>295</v>
      </c>
      <c r="E4" s="468" t="s">
        <v>363</v>
      </c>
      <c r="F4" s="466" t="s">
        <v>295</v>
      </c>
      <c r="G4" s="467" t="s">
        <v>363</v>
      </c>
      <c r="H4" s="466" t="s">
        <v>295</v>
      </c>
      <c r="I4" s="467" t="s">
        <v>363</v>
      </c>
      <c r="J4" s="466" t="s">
        <v>295</v>
      </c>
      <c r="K4" s="468" t="s">
        <v>363</v>
      </c>
      <c r="L4" s="466" t="s">
        <v>295</v>
      </c>
      <c r="M4" s="467" t="s">
        <v>363</v>
      </c>
      <c r="N4" s="466" t="s">
        <v>295</v>
      </c>
      <c r="O4" s="468" t="s">
        <v>363</v>
      </c>
      <c r="P4" s="467" t="s">
        <v>295</v>
      </c>
      <c r="Q4" s="467" t="s">
        <v>363</v>
      </c>
      <c r="R4" s="466" t="s">
        <v>295</v>
      </c>
      <c r="S4" s="468" t="s">
        <v>363</v>
      </c>
      <c r="T4" s="466" t="s">
        <v>295</v>
      </c>
      <c r="U4" s="468" t="s">
        <v>363</v>
      </c>
      <c r="V4" s="467" t="s">
        <v>295</v>
      </c>
      <c r="W4" s="467" t="s">
        <v>363</v>
      </c>
      <c r="X4" s="466" t="s">
        <v>295</v>
      </c>
      <c r="Y4" s="468" t="s">
        <v>363</v>
      </c>
      <c r="Z4" s="466" t="s">
        <v>295</v>
      </c>
      <c r="AA4" s="467" t="s">
        <v>363</v>
      </c>
      <c r="AB4" s="466" t="s">
        <v>295</v>
      </c>
      <c r="AC4" s="468" t="s">
        <v>363</v>
      </c>
      <c r="AD4" s="466" t="s">
        <v>295</v>
      </c>
      <c r="AE4" s="468" t="s">
        <v>363</v>
      </c>
      <c r="AF4" s="466" t="s">
        <v>295</v>
      </c>
      <c r="AG4" s="468" t="s">
        <v>363</v>
      </c>
      <c r="AH4" s="467" t="s">
        <v>295</v>
      </c>
      <c r="AI4" s="467" t="s">
        <v>363</v>
      </c>
      <c r="AJ4" s="466" t="s">
        <v>295</v>
      </c>
      <c r="AK4" s="468" t="s">
        <v>296</v>
      </c>
      <c r="AL4" s="466" t="s">
        <v>295</v>
      </c>
      <c r="AM4" s="468" t="s">
        <v>296</v>
      </c>
      <c r="AN4" s="473" t="s">
        <v>295</v>
      </c>
      <c r="AO4" s="471" t="s">
        <v>296</v>
      </c>
      <c r="AP4" s="466" t="s">
        <v>295</v>
      </c>
      <c r="AQ4" s="468" t="s">
        <v>363</v>
      </c>
      <c r="AR4" s="467" t="s">
        <v>295</v>
      </c>
      <c r="AS4" s="467" t="s">
        <v>363</v>
      </c>
      <c r="AT4" s="466" t="s">
        <v>295</v>
      </c>
      <c r="AU4" s="467" t="s">
        <v>363</v>
      </c>
      <c r="AV4" s="466" t="s">
        <v>295</v>
      </c>
      <c r="AW4" s="468" t="s">
        <v>363</v>
      </c>
      <c r="AX4" s="466" t="s">
        <v>295</v>
      </c>
      <c r="AY4" s="468" t="s">
        <v>363</v>
      </c>
      <c r="AZ4" s="466" t="s">
        <v>295</v>
      </c>
      <c r="BA4" s="468" t="s">
        <v>363</v>
      </c>
    </row>
    <row r="5" spans="1:53" s="98" customFormat="1" ht="14.25">
      <c r="A5" s="368" t="s">
        <v>21</v>
      </c>
      <c r="B5" s="175"/>
      <c r="C5" s="182"/>
      <c r="D5" s="175"/>
      <c r="E5" s="177"/>
      <c r="F5" s="175"/>
      <c r="G5" s="176"/>
      <c r="H5" s="175"/>
      <c r="I5" s="182"/>
      <c r="J5" s="175"/>
      <c r="K5" s="177"/>
      <c r="L5" s="175"/>
      <c r="M5" s="182"/>
      <c r="N5" s="175"/>
      <c r="O5" s="177"/>
      <c r="P5" s="178"/>
      <c r="Q5" s="182"/>
      <c r="R5" s="175"/>
      <c r="S5" s="177"/>
      <c r="T5" s="175"/>
      <c r="U5" s="177"/>
      <c r="V5" s="180"/>
      <c r="W5" s="184"/>
      <c r="X5" s="211"/>
      <c r="Y5" s="213"/>
      <c r="Z5" s="211"/>
      <c r="AA5" s="1005"/>
      <c r="AB5" s="175"/>
      <c r="AC5" s="177"/>
      <c r="AD5" s="175"/>
      <c r="AE5" s="177"/>
      <c r="AF5" s="211"/>
      <c r="AG5" s="213"/>
      <c r="AH5" s="856"/>
      <c r="AI5" s="1005"/>
      <c r="AJ5" s="175"/>
      <c r="AK5" s="177"/>
      <c r="AL5" s="211"/>
      <c r="AM5" s="213"/>
      <c r="AN5" s="211"/>
      <c r="AO5" s="213"/>
      <c r="AP5" s="175"/>
      <c r="AQ5" s="177"/>
      <c r="AR5" s="856"/>
      <c r="AS5" s="212"/>
      <c r="AT5" s="211"/>
      <c r="AU5" s="212"/>
      <c r="AV5" s="175"/>
      <c r="AW5" s="177"/>
      <c r="AX5" s="175"/>
      <c r="AY5" s="177"/>
      <c r="AZ5" s="175"/>
      <c r="BA5" s="177"/>
    </row>
    <row r="6" spans="1:53" s="98" customFormat="1" ht="14.25">
      <c r="A6" s="95" t="s">
        <v>22</v>
      </c>
      <c r="B6" s="130"/>
      <c r="C6" s="1002"/>
      <c r="D6" s="99"/>
      <c r="E6" s="101"/>
      <c r="F6" s="99"/>
      <c r="G6" s="100"/>
      <c r="H6" s="99"/>
      <c r="I6" s="102"/>
      <c r="J6" s="99"/>
      <c r="K6" s="101"/>
      <c r="L6" s="99"/>
      <c r="M6" s="102"/>
      <c r="N6" s="99"/>
      <c r="O6" s="101"/>
      <c r="P6" s="131"/>
      <c r="Q6" s="102"/>
      <c r="R6" s="99"/>
      <c r="S6" s="101"/>
      <c r="T6" s="99"/>
      <c r="U6" s="101"/>
      <c r="V6" s="132"/>
      <c r="W6" s="114"/>
      <c r="X6" s="99"/>
      <c r="Y6" s="101"/>
      <c r="Z6" s="106"/>
      <c r="AA6" s="1006"/>
      <c r="AB6" s="99"/>
      <c r="AC6" s="101"/>
      <c r="AD6" s="99"/>
      <c r="AE6" s="101"/>
      <c r="AF6" s="99"/>
      <c r="AG6" s="101"/>
      <c r="AH6" s="131"/>
      <c r="AI6" s="102"/>
      <c r="AJ6" s="99"/>
      <c r="AK6" s="101"/>
      <c r="AL6" s="108"/>
      <c r="AM6" s="101"/>
      <c r="AN6" s="647"/>
      <c r="AO6" s="97"/>
      <c r="AP6" s="1013"/>
      <c r="AQ6" s="857"/>
      <c r="AR6" s="370"/>
      <c r="AS6" s="109"/>
      <c r="AT6" s="99"/>
      <c r="AU6" s="100"/>
      <c r="AV6" s="110"/>
      <c r="AW6" s="1015"/>
      <c r="AX6" s="1016"/>
      <c r="AY6" s="859"/>
      <c r="AZ6" s="110"/>
      <c r="BA6" s="1015"/>
    </row>
    <row r="7" spans="1:53" s="98" customFormat="1" ht="14.25">
      <c r="A7" s="364" t="s">
        <v>23</v>
      </c>
      <c r="B7" s="369">
        <v>3098795</v>
      </c>
      <c r="C7" s="1003">
        <v>3346352</v>
      </c>
      <c r="D7" s="103">
        <v>214631</v>
      </c>
      <c r="E7" s="105">
        <v>130111</v>
      </c>
      <c r="F7" s="103">
        <v>383738</v>
      </c>
      <c r="G7" s="104">
        <v>437922</v>
      </c>
      <c r="H7" s="103">
        <v>3306400</v>
      </c>
      <c r="I7" s="114">
        <v>3290075</v>
      </c>
      <c r="J7" s="103">
        <v>1207822</v>
      </c>
      <c r="K7" s="105">
        <v>904775</v>
      </c>
      <c r="L7" s="103">
        <v>1600413</v>
      </c>
      <c r="M7" s="114">
        <v>865265</v>
      </c>
      <c r="N7" s="103">
        <v>381318</v>
      </c>
      <c r="O7" s="105">
        <v>280831</v>
      </c>
      <c r="P7" s="132">
        <v>494725</v>
      </c>
      <c r="Q7" s="114">
        <v>594223</v>
      </c>
      <c r="R7" s="103">
        <v>1238904</v>
      </c>
      <c r="S7" s="105">
        <v>825330</v>
      </c>
      <c r="T7" s="103">
        <v>1337017</v>
      </c>
      <c r="U7" s="105">
        <v>659508</v>
      </c>
      <c r="V7" s="132">
        <v>13265804</v>
      </c>
      <c r="W7" s="114">
        <v>10218340</v>
      </c>
      <c r="X7" s="103">
        <v>12697535</v>
      </c>
      <c r="Y7" s="105">
        <v>6275404</v>
      </c>
      <c r="Z7" s="103">
        <v>499385</v>
      </c>
      <c r="AA7" s="1007">
        <v>188850</v>
      </c>
      <c r="AB7" s="99">
        <v>1187448</v>
      </c>
      <c r="AC7" s="101">
        <v>719120</v>
      </c>
      <c r="AD7" s="103">
        <v>5443326</v>
      </c>
      <c r="AE7" s="105">
        <v>3483160</v>
      </c>
      <c r="AF7" s="103">
        <v>6460601</v>
      </c>
      <c r="AG7" s="105">
        <v>6214903</v>
      </c>
      <c r="AH7" s="132">
        <v>2563592</v>
      </c>
      <c r="AI7" s="114">
        <v>1939170</v>
      </c>
      <c r="AJ7" s="103">
        <v>2133532</v>
      </c>
      <c r="AK7" s="105">
        <v>1513789</v>
      </c>
      <c r="AL7" s="108"/>
      <c r="AM7" s="101"/>
      <c r="AN7" s="767">
        <v>16443478</v>
      </c>
      <c r="AO7" s="768">
        <v>10857548</v>
      </c>
      <c r="AP7" s="493">
        <v>808729</v>
      </c>
      <c r="AQ7" s="838">
        <v>662286</v>
      </c>
      <c r="AR7" s="371">
        <v>923924</v>
      </c>
      <c r="AS7" s="120">
        <v>785553</v>
      </c>
      <c r="AT7" s="103">
        <v>4617511</v>
      </c>
      <c r="AU7" s="104">
        <v>5415363</v>
      </c>
      <c r="AV7" s="122">
        <f t="shared" ref="AV7:AW9" si="0">SUM(B7+D7+F7+H7+J7+L7+N7+P7+R7+T7+V7+X7+Z7+AB7+AD7+AF7+AH7+AJ7+AL7+AN7+AP7+AR7+AT7)</f>
        <v>80308628</v>
      </c>
      <c r="AW7" s="123">
        <f t="shared" si="0"/>
        <v>59607878</v>
      </c>
      <c r="AX7" s="119">
        <v>190131436</v>
      </c>
      <c r="AY7" s="121">
        <v>69945333</v>
      </c>
      <c r="AZ7" s="122">
        <f t="shared" ref="AZ7:BA10" si="1">AV7+AX7</f>
        <v>270440064</v>
      </c>
      <c r="BA7" s="123">
        <f t="shared" si="1"/>
        <v>129553211</v>
      </c>
    </row>
    <row r="8" spans="1:53" s="98" customFormat="1" ht="14.25">
      <c r="A8" s="364" t="s">
        <v>24</v>
      </c>
      <c r="B8" s="369">
        <v>7506487</v>
      </c>
      <c r="C8" s="1003">
        <v>7735261</v>
      </c>
      <c r="D8" s="103">
        <v>832356</v>
      </c>
      <c r="E8" s="105">
        <v>863134</v>
      </c>
      <c r="F8" s="103">
        <v>1785892</v>
      </c>
      <c r="G8" s="104">
        <v>1489370</v>
      </c>
      <c r="H8" s="103">
        <v>8227288</v>
      </c>
      <c r="I8" s="114">
        <v>9578731</v>
      </c>
      <c r="J8" s="103">
        <v>2228774</v>
      </c>
      <c r="K8" s="105">
        <v>2294248</v>
      </c>
      <c r="L8" s="103">
        <v>4260336</v>
      </c>
      <c r="M8" s="114">
        <v>4669107</v>
      </c>
      <c r="N8" s="103">
        <v>1536670</v>
      </c>
      <c r="O8" s="105">
        <v>1593928</v>
      </c>
      <c r="P8" s="132">
        <v>1068716</v>
      </c>
      <c r="Q8" s="114">
        <v>1007195</v>
      </c>
      <c r="R8" s="103">
        <v>4171894</v>
      </c>
      <c r="S8" s="105">
        <v>4071525</v>
      </c>
      <c r="T8" s="103">
        <v>848957</v>
      </c>
      <c r="U8" s="105">
        <v>737731</v>
      </c>
      <c r="V8" s="132">
        <v>26098038</v>
      </c>
      <c r="W8" s="114">
        <v>32391187</v>
      </c>
      <c r="X8" s="103">
        <v>40427144</v>
      </c>
      <c r="Y8" s="105">
        <v>41397973</v>
      </c>
      <c r="Z8" s="103">
        <v>1951882</v>
      </c>
      <c r="AA8" s="1007">
        <v>1732799</v>
      </c>
      <c r="AB8" s="99">
        <v>2138051</v>
      </c>
      <c r="AC8" s="101">
        <v>2631103</v>
      </c>
      <c r="AD8" s="103">
        <v>7022093</v>
      </c>
      <c r="AE8" s="105">
        <v>6406143</v>
      </c>
      <c r="AF8" s="103">
        <v>17400256</v>
      </c>
      <c r="AG8" s="105">
        <v>18516996</v>
      </c>
      <c r="AH8" s="132">
        <v>6035415</v>
      </c>
      <c r="AI8" s="114">
        <v>5332119</v>
      </c>
      <c r="AJ8" s="103">
        <v>6120669</v>
      </c>
      <c r="AK8" s="105">
        <v>6114396</v>
      </c>
      <c r="AL8" s="108"/>
      <c r="AM8" s="101"/>
      <c r="AN8" s="767">
        <v>35399641</v>
      </c>
      <c r="AO8" s="768">
        <v>45848789</v>
      </c>
      <c r="AP8" s="493">
        <v>1501335</v>
      </c>
      <c r="AQ8" s="838">
        <v>1455337</v>
      </c>
      <c r="AR8" s="371">
        <v>2289132</v>
      </c>
      <c r="AS8" s="120">
        <v>2943250</v>
      </c>
      <c r="AT8" s="103">
        <v>7248877</v>
      </c>
      <c r="AU8" s="104">
        <v>11196704</v>
      </c>
      <c r="AV8" s="122">
        <f t="shared" si="0"/>
        <v>186099903</v>
      </c>
      <c r="AW8" s="123">
        <f t="shared" si="0"/>
        <v>210007026</v>
      </c>
      <c r="AX8" s="119">
        <v>417417005</v>
      </c>
      <c r="AY8" s="121">
        <v>406936311</v>
      </c>
      <c r="AZ8" s="122">
        <f t="shared" si="1"/>
        <v>603516908</v>
      </c>
      <c r="BA8" s="123">
        <f t="shared" si="1"/>
        <v>616943337</v>
      </c>
    </row>
    <row r="9" spans="1:53" s="98" customFormat="1" ht="14.25">
      <c r="A9" s="364" t="s">
        <v>25</v>
      </c>
      <c r="B9" s="369">
        <v>2001653</v>
      </c>
      <c r="C9" s="1003">
        <v>5814359</v>
      </c>
      <c r="D9" s="103">
        <v>10002</v>
      </c>
      <c r="E9" s="105">
        <v>1052</v>
      </c>
      <c r="F9" s="103">
        <v>35623</v>
      </c>
      <c r="G9" s="104">
        <v>33987</v>
      </c>
      <c r="H9" s="103">
        <v>6833267</v>
      </c>
      <c r="I9" s="114">
        <v>4127996</v>
      </c>
      <c r="J9" s="103">
        <v>710252</v>
      </c>
      <c r="K9" s="105">
        <v>192445</v>
      </c>
      <c r="L9" s="103">
        <v>2661540</v>
      </c>
      <c r="M9" s="114">
        <v>3947256</v>
      </c>
      <c r="N9" s="103">
        <v>1081803</v>
      </c>
      <c r="O9" s="105">
        <v>98305</v>
      </c>
      <c r="P9" s="132">
        <v>82653</v>
      </c>
      <c r="Q9" s="114">
        <v>35608</v>
      </c>
      <c r="R9" s="103">
        <v>312736</v>
      </c>
      <c r="S9" s="105">
        <v>196217</v>
      </c>
      <c r="T9" s="103">
        <v>161090</v>
      </c>
      <c r="U9" s="105">
        <v>-3895</v>
      </c>
      <c r="V9" s="132">
        <v>25993834</v>
      </c>
      <c r="W9" s="114">
        <v>16016085</v>
      </c>
      <c r="X9" s="103">
        <v>10168103</v>
      </c>
      <c r="Y9" s="105">
        <v>9793755</v>
      </c>
      <c r="Z9" s="103">
        <v>529839</v>
      </c>
      <c r="AA9" s="1007">
        <v>450044</v>
      </c>
      <c r="AB9" s="99">
        <v>3822825</v>
      </c>
      <c r="AC9" s="101">
        <v>2292684</v>
      </c>
      <c r="AD9" s="103">
        <v>3937086</v>
      </c>
      <c r="AE9" s="105">
        <v>2175799</v>
      </c>
      <c r="AF9" s="103">
        <v>2647283</v>
      </c>
      <c r="AG9" s="105">
        <v>2779718</v>
      </c>
      <c r="AH9" s="132">
        <v>687058</v>
      </c>
      <c r="AI9" s="114">
        <v>449606</v>
      </c>
      <c r="AJ9" s="103">
        <v>136835</v>
      </c>
      <c r="AK9" s="105">
        <v>92995</v>
      </c>
      <c r="AL9" s="108"/>
      <c r="AM9" s="101"/>
      <c r="AN9" s="767">
        <v>15101258</v>
      </c>
      <c r="AO9" s="768">
        <v>19728089</v>
      </c>
      <c r="AP9" s="493">
        <v>577872</v>
      </c>
      <c r="AQ9" s="838">
        <v>132609</v>
      </c>
      <c r="AR9" s="371">
        <v>241041</v>
      </c>
      <c r="AS9" s="120">
        <v>268043</v>
      </c>
      <c r="AT9" s="103">
        <v>1161958</v>
      </c>
      <c r="AU9" s="104">
        <v>1738976</v>
      </c>
      <c r="AV9" s="122">
        <f t="shared" si="0"/>
        <v>78895611</v>
      </c>
      <c r="AW9" s="123">
        <f t="shared" si="0"/>
        <v>70361733</v>
      </c>
      <c r="AX9" s="119">
        <v>258162538</v>
      </c>
      <c r="AY9" s="121">
        <v>295647302</v>
      </c>
      <c r="AZ9" s="122">
        <f t="shared" si="1"/>
        <v>337058149</v>
      </c>
      <c r="BA9" s="123">
        <f t="shared" si="1"/>
        <v>366009035</v>
      </c>
    </row>
    <row r="10" spans="1:53" s="98" customFormat="1" ht="14.25">
      <c r="A10" s="366" t="s">
        <v>26</v>
      </c>
      <c r="B10" s="96">
        <f>SUM(B7:B9)</f>
        <v>12606935</v>
      </c>
      <c r="C10" s="494">
        <f t="shared" ref="C10:AH10" si="2">SUM(C7:C9)</f>
        <v>16895972</v>
      </c>
      <c r="D10" s="96">
        <f t="shared" si="2"/>
        <v>1056989</v>
      </c>
      <c r="E10" s="502">
        <f t="shared" si="2"/>
        <v>994297</v>
      </c>
      <c r="F10" s="96">
        <f t="shared" si="2"/>
        <v>2205253</v>
      </c>
      <c r="G10" s="96">
        <f t="shared" si="2"/>
        <v>1961279</v>
      </c>
      <c r="H10" s="96">
        <f t="shared" si="2"/>
        <v>18366955</v>
      </c>
      <c r="I10" s="494">
        <f t="shared" si="2"/>
        <v>16996802</v>
      </c>
      <c r="J10" s="96">
        <f t="shared" si="2"/>
        <v>4146848</v>
      </c>
      <c r="K10" s="502">
        <f t="shared" si="2"/>
        <v>3391468</v>
      </c>
      <c r="L10" s="96">
        <f t="shared" si="2"/>
        <v>8522289</v>
      </c>
      <c r="M10" s="494">
        <f t="shared" si="2"/>
        <v>9481628</v>
      </c>
      <c r="N10" s="96">
        <f t="shared" si="2"/>
        <v>2999791</v>
      </c>
      <c r="O10" s="502">
        <f t="shared" si="2"/>
        <v>1973064</v>
      </c>
      <c r="P10" s="125">
        <f t="shared" si="2"/>
        <v>1646094</v>
      </c>
      <c r="Q10" s="494">
        <f t="shared" si="2"/>
        <v>1637026</v>
      </c>
      <c r="R10" s="96">
        <f t="shared" si="2"/>
        <v>5723534</v>
      </c>
      <c r="S10" s="502">
        <f t="shared" si="2"/>
        <v>5093072</v>
      </c>
      <c r="T10" s="96">
        <f t="shared" si="2"/>
        <v>2347064</v>
      </c>
      <c r="U10" s="502">
        <f t="shared" si="2"/>
        <v>1393344</v>
      </c>
      <c r="V10" s="125">
        <f t="shared" si="2"/>
        <v>65357676</v>
      </c>
      <c r="W10" s="494">
        <f t="shared" si="2"/>
        <v>58625612</v>
      </c>
      <c r="X10" s="96">
        <f t="shared" si="2"/>
        <v>63292782</v>
      </c>
      <c r="Y10" s="502">
        <f t="shared" si="2"/>
        <v>57467132</v>
      </c>
      <c r="Z10" s="96">
        <f t="shared" si="2"/>
        <v>2981106</v>
      </c>
      <c r="AA10" s="494">
        <f t="shared" si="2"/>
        <v>2371693</v>
      </c>
      <c r="AB10" s="96">
        <f t="shared" si="2"/>
        <v>7148324</v>
      </c>
      <c r="AC10" s="502">
        <f t="shared" si="2"/>
        <v>5642907</v>
      </c>
      <c r="AD10" s="96">
        <f t="shared" si="2"/>
        <v>16402505</v>
      </c>
      <c r="AE10" s="502">
        <f t="shared" si="2"/>
        <v>12065102</v>
      </c>
      <c r="AF10" s="96">
        <f t="shared" si="2"/>
        <v>26508140</v>
      </c>
      <c r="AG10" s="502">
        <f t="shared" si="2"/>
        <v>27511617</v>
      </c>
      <c r="AH10" s="125">
        <f t="shared" si="2"/>
        <v>9286065</v>
      </c>
      <c r="AI10" s="494">
        <f t="shared" ref="AI10:AU10" si="3">SUM(AI7:AI9)</f>
        <v>7720895</v>
      </c>
      <c r="AJ10" s="96">
        <f t="shared" si="3"/>
        <v>8391036</v>
      </c>
      <c r="AK10" s="502">
        <f t="shared" si="3"/>
        <v>7721180</v>
      </c>
      <c r="AL10" s="96">
        <f t="shared" si="3"/>
        <v>0</v>
      </c>
      <c r="AM10" s="502">
        <f t="shared" si="3"/>
        <v>0</v>
      </c>
      <c r="AN10" s="96">
        <f t="shared" si="3"/>
        <v>66944377</v>
      </c>
      <c r="AO10" s="502">
        <f t="shared" si="3"/>
        <v>76434426</v>
      </c>
      <c r="AP10" s="96">
        <f t="shared" si="3"/>
        <v>2887936</v>
      </c>
      <c r="AQ10" s="502">
        <f t="shared" si="3"/>
        <v>2250232</v>
      </c>
      <c r="AR10" s="125">
        <f t="shared" si="3"/>
        <v>3454097</v>
      </c>
      <c r="AS10" s="96">
        <f t="shared" si="3"/>
        <v>3996846</v>
      </c>
      <c r="AT10" s="96">
        <f t="shared" si="3"/>
        <v>13028346</v>
      </c>
      <c r="AU10" s="96">
        <f t="shared" si="3"/>
        <v>18351043</v>
      </c>
      <c r="AV10" s="502">
        <f>SUM(AV7:AV9)</f>
        <v>345304142</v>
      </c>
      <c r="AW10" s="123">
        <f>SUM(C10+E10+G10+I10+K10+M10+O10+Q10+S10+U10+W10+Y10+AA10+AC10+AE10+AG10+AI10+AK10+AM10+AO10+AQ10+AS10+AU10)</f>
        <v>339976637</v>
      </c>
      <c r="AX10" s="122">
        <f>SUM(AX7:AX9)</f>
        <v>865710979</v>
      </c>
      <c r="AY10" s="135">
        <f>SUM(AY7:AY9)</f>
        <v>772528946</v>
      </c>
      <c r="AZ10" s="122">
        <f t="shared" si="1"/>
        <v>1211015121</v>
      </c>
      <c r="BA10" s="123">
        <f t="shared" si="1"/>
        <v>1112505583</v>
      </c>
    </row>
    <row r="11" spans="1:53" s="98" customFormat="1" ht="14.25">
      <c r="A11" s="364" t="s">
        <v>27</v>
      </c>
      <c r="B11" s="369"/>
      <c r="C11" s="1003"/>
      <c r="D11" s="103"/>
      <c r="E11" s="105"/>
      <c r="F11" s="103"/>
      <c r="G11" s="104"/>
      <c r="H11" s="103"/>
      <c r="I11" s="114"/>
      <c r="J11" s="103"/>
      <c r="K11" s="105"/>
      <c r="L11" s="103"/>
      <c r="M11" s="114"/>
      <c r="N11" s="103"/>
      <c r="O11" s="105"/>
      <c r="P11" s="132"/>
      <c r="Q11" s="114"/>
      <c r="R11" s="103"/>
      <c r="S11" s="105"/>
      <c r="T11" s="103"/>
      <c r="U11" s="105"/>
      <c r="V11" s="132"/>
      <c r="W11" s="114"/>
      <c r="X11" s="103"/>
      <c r="Y11" s="105"/>
      <c r="Z11" s="103"/>
      <c r="AA11" s="114"/>
      <c r="AB11" s="99"/>
      <c r="AC11" s="101"/>
      <c r="AD11" s="103"/>
      <c r="AE11" s="105"/>
      <c r="AF11" s="103"/>
      <c r="AG11" s="105"/>
      <c r="AH11" s="132"/>
      <c r="AI11" s="114"/>
      <c r="AJ11" s="103"/>
      <c r="AK11" s="105"/>
      <c r="AL11" s="108"/>
      <c r="AM11" s="101"/>
      <c r="AN11" s="647"/>
      <c r="AO11" s="97"/>
      <c r="AP11" s="493"/>
      <c r="AQ11" s="838"/>
      <c r="AR11" s="371"/>
      <c r="AS11" s="120"/>
      <c r="AT11" s="103"/>
      <c r="AU11" s="104"/>
      <c r="AV11" s="122"/>
      <c r="AW11" s="123"/>
      <c r="AX11" s="119"/>
      <c r="AY11" s="121"/>
      <c r="AZ11" s="122"/>
      <c r="BA11" s="123"/>
    </row>
    <row r="12" spans="1:53" s="98" customFormat="1" ht="14.25">
      <c r="A12" s="364" t="s">
        <v>28</v>
      </c>
      <c r="B12" s="369">
        <f>B9</f>
        <v>2001653</v>
      </c>
      <c r="C12" s="1003">
        <f>C10</f>
        <v>16895972</v>
      </c>
      <c r="D12" s="122">
        <f>D10</f>
        <v>1056989</v>
      </c>
      <c r="E12" s="135">
        <f>E10</f>
        <v>994297</v>
      </c>
      <c r="F12" s="122">
        <f>F10</f>
        <v>2205253</v>
      </c>
      <c r="G12" s="133">
        <f>G10</f>
        <v>1961279</v>
      </c>
      <c r="H12" s="122">
        <f t="shared" ref="H12:M12" si="4">H10</f>
        <v>18366955</v>
      </c>
      <c r="I12" s="134">
        <f t="shared" si="4"/>
        <v>16996802</v>
      </c>
      <c r="J12" s="122">
        <f t="shared" si="4"/>
        <v>4146848</v>
      </c>
      <c r="K12" s="135">
        <f t="shared" si="4"/>
        <v>3391468</v>
      </c>
      <c r="L12" s="122">
        <f t="shared" si="4"/>
        <v>8522289</v>
      </c>
      <c r="M12" s="134">
        <f t="shared" si="4"/>
        <v>9481628</v>
      </c>
      <c r="N12" s="122">
        <f t="shared" ref="N12:Y12" si="5">N10</f>
        <v>2999791</v>
      </c>
      <c r="O12" s="135">
        <f t="shared" si="5"/>
        <v>1973064</v>
      </c>
      <c r="P12" s="133">
        <f t="shared" si="5"/>
        <v>1646094</v>
      </c>
      <c r="Q12" s="134">
        <f t="shared" si="5"/>
        <v>1637026</v>
      </c>
      <c r="R12" s="122">
        <f t="shared" si="5"/>
        <v>5723534</v>
      </c>
      <c r="S12" s="135">
        <f t="shared" si="5"/>
        <v>5093072</v>
      </c>
      <c r="T12" s="122">
        <f t="shared" si="5"/>
        <v>2347064</v>
      </c>
      <c r="U12" s="135">
        <f t="shared" si="5"/>
        <v>1393344</v>
      </c>
      <c r="V12" s="133">
        <f t="shared" si="5"/>
        <v>65357676</v>
      </c>
      <c r="W12" s="134">
        <f t="shared" si="5"/>
        <v>58625612</v>
      </c>
      <c r="X12" s="122">
        <f t="shared" si="5"/>
        <v>63292782</v>
      </c>
      <c r="Y12" s="135">
        <f t="shared" si="5"/>
        <v>57467132</v>
      </c>
      <c r="Z12" s="103">
        <f t="shared" ref="Z12:AE12" si="6">Z10</f>
        <v>2981106</v>
      </c>
      <c r="AA12" s="1008">
        <f t="shared" si="6"/>
        <v>2371693</v>
      </c>
      <c r="AB12" s="99">
        <f t="shared" si="6"/>
        <v>7148324</v>
      </c>
      <c r="AC12" s="448">
        <f t="shared" si="6"/>
        <v>5642907</v>
      </c>
      <c r="AD12" s="103">
        <f t="shared" si="6"/>
        <v>16402505</v>
      </c>
      <c r="AE12" s="837">
        <f t="shared" si="6"/>
        <v>12065102</v>
      </c>
      <c r="AF12" s="103">
        <f t="shared" ref="AF12:AS12" si="7">AF10</f>
        <v>26508140</v>
      </c>
      <c r="AG12" s="837">
        <f t="shared" si="7"/>
        <v>27511617</v>
      </c>
      <c r="AH12" s="132">
        <f t="shared" si="7"/>
        <v>9286065</v>
      </c>
      <c r="AI12" s="1010">
        <f t="shared" si="7"/>
        <v>7720895</v>
      </c>
      <c r="AJ12" s="103">
        <f t="shared" si="7"/>
        <v>8391036</v>
      </c>
      <c r="AK12" s="837">
        <f t="shared" si="7"/>
        <v>7721180</v>
      </c>
      <c r="AL12" s="103">
        <f t="shared" si="7"/>
        <v>0</v>
      </c>
      <c r="AM12" s="837">
        <f t="shared" si="7"/>
        <v>0</v>
      </c>
      <c r="AN12" s="103">
        <f t="shared" si="7"/>
        <v>66944377</v>
      </c>
      <c r="AO12" s="837">
        <f t="shared" si="7"/>
        <v>76434426</v>
      </c>
      <c r="AP12" s="103">
        <f t="shared" si="7"/>
        <v>2887936</v>
      </c>
      <c r="AQ12" s="837">
        <f t="shared" si="7"/>
        <v>2250232</v>
      </c>
      <c r="AR12" s="132">
        <f t="shared" si="7"/>
        <v>3454097</v>
      </c>
      <c r="AS12" s="132">
        <f t="shared" si="7"/>
        <v>3996846</v>
      </c>
      <c r="AT12" s="119">
        <f>AT10</f>
        <v>13028346</v>
      </c>
      <c r="AU12" s="120">
        <f>AU10</f>
        <v>18351043</v>
      </c>
      <c r="AV12" s="855">
        <f>AV10</f>
        <v>345304142</v>
      </c>
      <c r="AW12" s="123">
        <f>SUM(C12+E12+G12+I12+K12+M12+O12+Q12+S12+U12+W12+Y12+AA12+AC12+AE12+AG12+AI12+AK12+AM12+AO12+AQ12+AS12+AU12)</f>
        <v>339976637</v>
      </c>
      <c r="AX12" s="119">
        <v>864796274</v>
      </c>
      <c r="AY12" s="860">
        <v>771640169</v>
      </c>
      <c r="AZ12" s="122">
        <f>AV12+AX12</f>
        <v>1210100416</v>
      </c>
      <c r="BA12" s="123">
        <f>AW12+AY12</f>
        <v>1111616806</v>
      </c>
    </row>
    <row r="13" spans="1:53" s="98" customFormat="1" ht="14.25">
      <c r="A13" s="95" t="s">
        <v>29</v>
      </c>
      <c r="B13" s="369"/>
      <c r="C13" s="1003"/>
      <c r="D13" s="103"/>
      <c r="E13" s="105"/>
      <c r="F13" s="103"/>
      <c r="G13" s="104"/>
      <c r="H13" s="103"/>
      <c r="I13" s="114"/>
      <c r="J13" s="103"/>
      <c r="K13" s="105"/>
      <c r="L13" s="103"/>
      <c r="M13" s="114"/>
      <c r="N13" s="103"/>
      <c r="O13" s="105"/>
      <c r="P13" s="132"/>
      <c r="Q13" s="114"/>
      <c r="R13" s="103"/>
      <c r="S13" s="105"/>
      <c r="T13" s="103"/>
      <c r="U13" s="105"/>
      <c r="V13" s="132"/>
      <c r="W13" s="114"/>
      <c r="X13" s="103"/>
      <c r="Y13" s="105"/>
      <c r="Z13" s="103"/>
      <c r="AA13" s="114"/>
      <c r="AB13" s="99"/>
      <c r="AC13" s="101"/>
      <c r="AD13" s="103"/>
      <c r="AE13" s="105"/>
      <c r="AF13" s="103"/>
      <c r="AG13" s="105"/>
      <c r="AH13" s="132"/>
      <c r="AI13" s="114"/>
      <c r="AJ13" s="103"/>
      <c r="AK13" s="105"/>
      <c r="AL13" s="108"/>
      <c r="AM13" s="101"/>
      <c r="AN13" s="766"/>
      <c r="AO13" s="1011"/>
      <c r="AP13" s="493"/>
      <c r="AQ13" s="838"/>
      <c r="AR13" s="371"/>
      <c r="AS13" s="120"/>
      <c r="AT13" s="103"/>
      <c r="AU13" s="104"/>
      <c r="AV13" s="122"/>
      <c r="AW13" s="123"/>
      <c r="AX13" s="119">
        <v>914705</v>
      </c>
      <c r="AY13" s="121">
        <v>888777</v>
      </c>
      <c r="AZ13" s="122"/>
      <c r="BA13" s="123"/>
    </row>
    <row r="14" spans="1:53" s="489" customFormat="1" thickBot="1">
      <c r="A14" s="476" t="s">
        <v>26</v>
      </c>
      <c r="B14" s="477">
        <f>B10</f>
        <v>12606935</v>
      </c>
      <c r="C14" s="1004">
        <f>C10</f>
        <v>16895972</v>
      </c>
      <c r="D14" s="477">
        <f t="shared" ref="D14:W14" si="8">D10</f>
        <v>1056989</v>
      </c>
      <c r="E14" s="480">
        <f t="shared" si="8"/>
        <v>994297</v>
      </c>
      <c r="F14" s="477">
        <f t="shared" si="8"/>
        <v>2205253</v>
      </c>
      <c r="G14" s="478">
        <f t="shared" si="8"/>
        <v>1961279</v>
      </c>
      <c r="H14" s="477">
        <f t="shared" si="8"/>
        <v>18366955</v>
      </c>
      <c r="I14" s="479">
        <f t="shared" si="8"/>
        <v>16996802</v>
      </c>
      <c r="J14" s="477">
        <f t="shared" si="8"/>
        <v>4146848</v>
      </c>
      <c r="K14" s="480">
        <f t="shared" si="8"/>
        <v>3391468</v>
      </c>
      <c r="L14" s="477">
        <f t="shared" si="8"/>
        <v>8522289</v>
      </c>
      <c r="M14" s="479">
        <f t="shared" si="8"/>
        <v>9481628</v>
      </c>
      <c r="N14" s="477">
        <f t="shared" si="8"/>
        <v>2999791</v>
      </c>
      <c r="O14" s="480">
        <f t="shared" si="8"/>
        <v>1973064</v>
      </c>
      <c r="P14" s="478">
        <f t="shared" si="8"/>
        <v>1646094</v>
      </c>
      <c r="Q14" s="479">
        <f t="shared" si="8"/>
        <v>1637026</v>
      </c>
      <c r="R14" s="477">
        <f t="shared" si="8"/>
        <v>5723534</v>
      </c>
      <c r="S14" s="480">
        <f t="shared" si="8"/>
        <v>5093072</v>
      </c>
      <c r="T14" s="477">
        <f t="shared" si="8"/>
        <v>2347064</v>
      </c>
      <c r="U14" s="480">
        <f t="shared" si="8"/>
        <v>1393344</v>
      </c>
      <c r="V14" s="478">
        <f t="shared" si="8"/>
        <v>65357676</v>
      </c>
      <c r="W14" s="479">
        <f t="shared" si="8"/>
        <v>58625612</v>
      </c>
      <c r="X14" s="482">
        <f t="shared" ref="X14:AD14" si="9">X10</f>
        <v>63292782</v>
      </c>
      <c r="Y14" s="646">
        <f t="shared" si="9"/>
        <v>57467132</v>
      </c>
      <c r="Z14" s="482">
        <f t="shared" si="9"/>
        <v>2981106</v>
      </c>
      <c r="AA14" s="1009">
        <f t="shared" si="9"/>
        <v>2371693</v>
      </c>
      <c r="AB14" s="484">
        <f t="shared" si="9"/>
        <v>7148324</v>
      </c>
      <c r="AC14" s="485">
        <f t="shared" si="9"/>
        <v>5642907</v>
      </c>
      <c r="AD14" s="482">
        <f t="shared" si="9"/>
        <v>16402505</v>
      </c>
      <c r="AE14" s="483">
        <f t="shared" ref="AE14:AO14" si="10">AE10</f>
        <v>12065102</v>
      </c>
      <c r="AF14" s="482">
        <f t="shared" si="10"/>
        <v>26508140</v>
      </c>
      <c r="AG14" s="646">
        <f t="shared" si="10"/>
        <v>27511617</v>
      </c>
      <c r="AH14" s="481">
        <f t="shared" si="10"/>
        <v>9286065</v>
      </c>
      <c r="AI14" s="1009">
        <f t="shared" si="10"/>
        <v>7720895</v>
      </c>
      <c r="AJ14" s="482">
        <f t="shared" si="10"/>
        <v>8391036</v>
      </c>
      <c r="AK14" s="483">
        <f t="shared" si="10"/>
        <v>7721180</v>
      </c>
      <c r="AL14" s="482">
        <f t="shared" si="10"/>
        <v>0</v>
      </c>
      <c r="AM14" s="646">
        <f t="shared" si="10"/>
        <v>0</v>
      </c>
      <c r="AN14" s="1012">
        <f t="shared" si="10"/>
        <v>66944377</v>
      </c>
      <c r="AO14" s="648">
        <f t="shared" si="10"/>
        <v>76434426</v>
      </c>
      <c r="AP14" s="1014">
        <f>AP12</f>
        <v>2887936</v>
      </c>
      <c r="AQ14" s="858">
        <f>AQ12</f>
        <v>2250232</v>
      </c>
      <c r="AR14" s="486">
        <f>AR10</f>
        <v>3454097</v>
      </c>
      <c r="AS14" s="488">
        <f>AS10</f>
        <v>3996846</v>
      </c>
      <c r="AT14" s="487">
        <f>AT10</f>
        <v>13028346</v>
      </c>
      <c r="AU14" s="488">
        <f>AU10</f>
        <v>18351043</v>
      </c>
      <c r="AV14" s="482">
        <f>AV10</f>
        <v>345304142</v>
      </c>
      <c r="AW14" s="483">
        <f>SUM(C14+E14+G14+I14+K14+M14+O14+Q14+S14+U14+W14+Y14+AA14+AC14+AE14+AG14+AI14+AK14+AM14+AO14+AQ14+AS14+AU14)</f>
        <v>339976637</v>
      </c>
      <c r="AX14" s="487">
        <f>AX10</f>
        <v>865710979</v>
      </c>
      <c r="AY14" s="861">
        <f>AY10</f>
        <v>772528946</v>
      </c>
      <c r="AZ14" s="482">
        <f>AV14+AX14</f>
        <v>1211015121</v>
      </c>
      <c r="BA14" s="483">
        <f>AW14+AY14</f>
        <v>1112505583</v>
      </c>
    </row>
  </sheetData>
  <mergeCells count="29">
    <mergeCell ref="A1:BA1"/>
    <mergeCell ref="A2:BA2"/>
    <mergeCell ref="A3:A4"/>
    <mergeCell ref="B3:C3"/>
    <mergeCell ref="AB3:A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D3:AE3"/>
    <mergeCell ref="AF3:AG3"/>
    <mergeCell ref="AH3:AI3"/>
    <mergeCell ref="AJ3:AK3"/>
    <mergeCell ref="AL3:AM3"/>
    <mergeCell ref="AZ3:BA3"/>
    <mergeCell ref="AN3:AO3"/>
    <mergeCell ref="AP3:AQ3"/>
    <mergeCell ref="AV3:AW3"/>
    <mergeCell ref="AT3:AU3"/>
    <mergeCell ref="AR3:AS3"/>
    <mergeCell ref="AX3:AY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29"/>
  <sheetViews>
    <sheetView tabSelected="1" workbookViewId="0">
      <pane xSplit="1" topLeftCell="AX1" activePane="topRight" state="frozen"/>
      <selection pane="topRight" activeCell="AX15" sqref="AX15"/>
    </sheetView>
    <sheetView topLeftCell="C1" workbookViewId="1">
      <selection activeCell="U14" sqref="U14"/>
    </sheetView>
  </sheetViews>
  <sheetFormatPr defaultRowHeight="12.75"/>
  <cols>
    <col min="1" max="1" width="37.42578125" style="185" bestFit="1" customWidth="1"/>
    <col min="2" max="53" width="11.7109375" style="185" bestFit="1" customWidth="1"/>
    <col min="54" max="16384" width="9.140625" style="185"/>
  </cols>
  <sheetData>
    <row r="1" spans="1:53" s="210" customFormat="1" ht="14.25">
      <c r="A1" s="1214" t="s">
        <v>159</v>
      </c>
      <c r="B1" s="1214"/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  <c r="V1" s="1214"/>
      <c r="W1" s="1214"/>
      <c r="X1" s="1214"/>
      <c r="Y1" s="1214"/>
      <c r="Z1" s="1214"/>
      <c r="AA1" s="1214"/>
      <c r="AB1" s="1214"/>
      <c r="AC1" s="1214"/>
      <c r="AD1" s="1214"/>
      <c r="AE1" s="1214"/>
      <c r="AF1" s="1214"/>
      <c r="AG1" s="1214"/>
      <c r="AH1" s="1214"/>
      <c r="AI1" s="1214"/>
      <c r="AJ1" s="1214"/>
      <c r="AK1" s="1214"/>
      <c r="AL1" s="1214"/>
      <c r="AM1" s="1214"/>
      <c r="AN1" s="1214"/>
      <c r="AO1" s="1214"/>
      <c r="AP1" s="1214"/>
      <c r="AQ1" s="1214"/>
      <c r="AR1" s="1214"/>
      <c r="AS1" s="1214"/>
      <c r="AT1" s="1214"/>
      <c r="AU1" s="1214"/>
      <c r="AV1" s="1214"/>
      <c r="AW1" s="1214"/>
      <c r="AX1" s="1214"/>
      <c r="AY1" s="1214"/>
      <c r="AZ1" s="1214"/>
      <c r="BA1" s="1214"/>
    </row>
    <row r="2" spans="1:53" s="490" customFormat="1" ht="16.5" thickBot="1">
      <c r="A2" s="1243" t="s">
        <v>59</v>
      </c>
      <c r="B2" s="1243"/>
      <c r="C2" s="1243"/>
      <c r="D2" s="1243"/>
      <c r="E2" s="1243"/>
      <c r="F2" s="1243"/>
      <c r="G2" s="1243"/>
      <c r="H2" s="1243"/>
      <c r="I2" s="1243"/>
      <c r="J2" s="1243"/>
      <c r="K2" s="1243"/>
      <c r="L2" s="1243"/>
      <c r="M2" s="1243"/>
      <c r="N2" s="1243"/>
      <c r="O2" s="1243"/>
      <c r="P2" s="1243"/>
      <c r="Q2" s="1243"/>
      <c r="R2" s="1243"/>
      <c r="S2" s="1243"/>
      <c r="T2" s="1243"/>
      <c r="U2" s="1243"/>
      <c r="V2" s="1243"/>
      <c r="W2" s="1243"/>
      <c r="X2" s="1243"/>
      <c r="Y2" s="1243"/>
      <c r="Z2" s="1243"/>
      <c r="AA2" s="1243"/>
      <c r="AB2" s="1243"/>
      <c r="AC2" s="1243"/>
      <c r="AD2" s="1243"/>
      <c r="AE2" s="1243"/>
      <c r="AF2" s="1243"/>
      <c r="AG2" s="1243"/>
      <c r="AH2" s="1243"/>
      <c r="AI2" s="1243"/>
      <c r="AJ2" s="1243"/>
      <c r="AK2" s="1243"/>
      <c r="AL2" s="1243"/>
      <c r="AM2" s="1243"/>
      <c r="AN2" s="1243"/>
      <c r="AO2" s="1243"/>
      <c r="AP2" s="1243"/>
      <c r="AQ2" s="1243"/>
      <c r="AR2" s="1243"/>
      <c r="AS2" s="1243"/>
      <c r="AT2" s="1243"/>
      <c r="AU2" s="1243"/>
      <c r="AV2" s="1243"/>
      <c r="AW2" s="1243"/>
      <c r="AX2" s="1243"/>
      <c r="AY2" s="1243"/>
      <c r="AZ2" s="1243"/>
      <c r="BA2" s="1243"/>
    </row>
    <row r="3" spans="1:53" s="1017" customFormat="1" ht="44.25" customHeight="1" thickBot="1">
      <c r="A3" s="1244" t="s">
        <v>0</v>
      </c>
      <c r="B3" s="1240" t="s">
        <v>164</v>
      </c>
      <c r="C3" s="1241"/>
      <c r="D3" s="1240" t="s">
        <v>165</v>
      </c>
      <c r="E3" s="1241"/>
      <c r="F3" s="1240" t="s">
        <v>166</v>
      </c>
      <c r="G3" s="1241"/>
      <c r="H3" s="1240" t="s">
        <v>167</v>
      </c>
      <c r="I3" s="1241"/>
      <c r="J3" s="1240" t="s">
        <v>168</v>
      </c>
      <c r="K3" s="1241"/>
      <c r="L3" s="1240" t="s">
        <v>169</v>
      </c>
      <c r="M3" s="1241"/>
      <c r="N3" s="1240" t="s">
        <v>371</v>
      </c>
      <c r="O3" s="1242"/>
      <c r="P3" s="1240" t="s">
        <v>171</v>
      </c>
      <c r="Q3" s="1241"/>
      <c r="R3" s="1240" t="s">
        <v>172</v>
      </c>
      <c r="S3" s="1241"/>
      <c r="T3" s="1242" t="s">
        <v>173</v>
      </c>
      <c r="U3" s="1242"/>
      <c r="V3" s="1242" t="s">
        <v>174</v>
      </c>
      <c r="W3" s="1242"/>
      <c r="X3" s="1242" t="s">
        <v>175</v>
      </c>
      <c r="Y3" s="1242"/>
      <c r="Z3" s="1240" t="s">
        <v>176</v>
      </c>
      <c r="AA3" s="1241"/>
      <c r="AB3" s="1240" t="s">
        <v>177</v>
      </c>
      <c r="AC3" s="1242"/>
      <c r="AD3" s="1201" t="s">
        <v>178</v>
      </c>
      <c r="AE3" s="1202"/>
      <c r="AF3" s="1240" t="s">
        <v>179</v>
      </c>
      <c r="AG3" s="1241"/>
      <c r="AH3" s="1240" t="s">
        <v>180</v>
      </c>
      <c r="AI3" s="1241"/>
      <c r="AJ3" s="1240" t="s">
        <v>181</v>
      </c>
      <c r="AK3" s="1241"/>
      <c r="AL3" s="1201" t="s">
        <v>182</v>
      </c>
      <c r="AM3" s="1202"/>
      <c r="AN3" s="1240" t="s">
        <v>183</v>
      </c>
      <c r="AO3" s="1241"/>
      <c r="AP3" s="1240" t="s">
        <v>184</v>
      </c>
      <c r="AQ3" s="1241"/>
      <c r="AR3" s="1240" t="s">
        <v>185</v>
      </c>
      <c r="AS3" s="1241"/>
      <c r="AT3" s="1240" t="s">
        <v>186</v>
      </c>
      <c r="AU3" s="1241"/>
      <c r="AV3" s="1240" t="s">
        <v>1</v>
      </c>
      <c r="AW3" s="1241"/>
      <c r="AX3" s="1201" t="s">
        <v>187</v>
      </c>
      <c r="AY3" s="1202"/>
      <c r="AZ3" s="1201" t="s">
        <v>2</v>
      </c>
      <c r="BA3" s="1202"/>
    </row>
    <row r="4" spans="1:53" s="490" customFormat="1" ht="14.25" thickBot="1">
      <c r="A4" s="1245"/>
      <c r="B4" s="466" t="s">
        <v>295</v>
      </c>
      <c r="C4" s="467" t="s">
        <v>363</v>
      </c>
      <c r="D4" s="466" t="s">
        <v>295</v>
      </c>
      <c r="E4" s="467" t="s">
        <v>363</v>
      </c>
      <c r="F4" s="466" t="s">
        <v>295</v>
      </c>
      <c r="G4" s="467" t="s">
        <v>363</v>
      </c>
      <c r="H4" s="466" t="s">
        <v>295</v>
      </c>
      <c r="I4" s="467" t="s">
        <v>363</v>
      </c>
      <c r="J4" s="466" t="s">
        <v>295</v>
      </c>
      <c r="K4" s="467" t="s">
        <v>363</v>
      </c>
      <c r="L4" s="466" t="s">
        <v>295</v>
      </c>
      <c r="M4" s="467" t="s">
        <v>363</v>
      </c>
      <c r="N4" s="466" t="s">
        <v>295</v>
      </c>
      <c r="O4" s="467" t="s">
        <v>363</v>
      </c>
      <c r="P4" s="466" t="s">
        <v>295</v>
      </c>
      <c r="Q4" s="468" t="s">
        <v>363</v>
      </c>
      <c r="R4" s="466" t="s">
        <v>295</v>
      </c>
      <c r="S4" s="468" t="s">
        <v>363</v>
      </c>
      <c r="T4" s="467" t="s">
        <v>295</v>
      </c>
      <c r="U4" s="467" t="s">
        <v>363</v>
      </c>
      <c r="V4" s="466" t="s">
        <v>295</v>
      </c>
      <c r="W4" s="467" t="s">
        <v>363</v>
      </c>
      <c r="X4" s="466" t="s">
        <v>295</v>
      </c>
      <c r="Y4" s="467" t="s">
        <v>363</v>
      </c>
      <c r="Z4" s="466" t="s">
        <v>295</v>
      </c>
      <c r="AA4" s="468" t="s">
        <v>363</v>
      </c>
      <c r="AB4" s="466" t="s">
        <v>295</v>
      </c>
      <c r="AC4" s="467" t="s">
        <v>363</v>
      </c>
      <c r="AD4" s="466" t="s">
        <v>295</v>
      </c>
      <c r="AE4" s="468" t="s">
        <v>363</v>
      </c>
      <c r="AF4" s="466" t="s">
        <v>295</v>
      </c>
      <c r="AG4" s="467" t="s">
        <v>363</v>
      </c>
      <c r="AH4" s="466" t="s">
        <v>295</v>
      </c>
      <c r="AI4" s="467" t="s">
        <v>296</v>
      </c>
      <c r="AJ4" s="466" t="s">
        <v>295</v>
      </c>
      <c r="AK4" s="467" t="s">
        <v>296</v>
      </c>
      <c r="AL4" s="466" t="s">
        <v>295</v>
      </c>
      <c r="AM4" s="467" t="s">
        <v>296</v>
      </c>
      <c r="AN4" s="466" t="s">
        <v>295</v>
      </c>
      <c r="AO4" s="467" t="s">
        <v>363</v>
      </c>
      <c r="AP4" s="466" t="s">
        <v>295</v>
      </c>
      <c r="AQ4" s="467" t="s">
        <v>363</v>
      </c>
      <c r="AR4" s="466" t="s">
        <v>295</v>
      </c>
      <c r="AS4" s="467" t="s">
        <v>363</v>
      </c>
      <c r="AT4" s="466" t="s">
        <v>295</v>
      </c>
      <c r="AU4" s="467" t="s">
        <v>363</v>
      </c>
      <c r="AV4" s="466" t="s">
        <v>295</v>
      </c>
      <c r="AW4" s="467" t="s">
        <v>363</v>
      </c>
      <c r="AX4" s="466" t="s">
        <v>295</v>
      </c>
      <c r="AY4" s="467" t="s">
        <v>363</v>
      </c>
      <c r="AZ4" s="466" t="s">
        <v>295</v>
      </c>
      <c r="BA4" s="468" t="s">
        <v>363</v>
      </c>
    </row>
    <row r="5" spans="1:53" s="169" customFormat="1" ht="14.25">
      <c r="A5" s="367" t="s">
        <v>60</v>
      </c>
      <c r="B5" s="183"/>
      <c r="C5" s="181"/>
      <c r="D5" s="183"/>
      <c r="E5" s="181"/>
      <c r="F5" s="183"/>
      <c r="G5" s="181"/>
      <c r="H5" s="183"/>
      <c r="I5" s="181"/>
      <c r="J5" s="183"/>
      <c r="K5" s="181"/>
      <c r="L5" s="183"/>
      <c r="M5" s="181"/>
      <c r="N5" s="183"/>
      <c r="O5" s="184"/>
      <c r="P5" s="183"/>
      <c r="Q5" s="179"/>
      <c r="R5" s="183"/>
      <c r="S5" s="179"/>
      <c r="T5" s="180"/>
      <c r="U5" s="181"/>
      <c r="V5" s="180"/>
      <c r="W5" s="181"/>
      <c r="X5" s="180"/>
      <c r="Y5" s="184"/>
      <c r="Z5" s="183"/>
      <c r="AA5" s="179"/>
      <c r="AB5" s="183"/>
      <c r="AC5" s="181"/>
      <c r="AD5" s="180"/>
      <c r="AE5" s="181"/>
      <c r="AF5" s="183"/>
      <c r="AG5" s="181"/>
      <c r="AH5" s="183"/>
      <c r="AI5" s="181"/>
      <c r="AJ5" s="183"/>
      <c r="AK5" s="181"/>
      <c r="AL5" s="183"/>
      <c r="AM5" s="181"/>
      <c r="AN5" s="183"/>
      <c r="AO5" s="181"/>
      <c r="AP5" s="183"/>
      <c r="AQ5" s="181"/>
      <c r="AR5" s="183"/>
      <c r="AS5" s="181"/>
      <c r="AT5" s="183"/>
      <c r="AU5" s="181"/>
      <c r="AV5" s="183"/>
      <c r="AW5" s="181"/>
      <c r="AX5" s="183"/>
      <c r="AY5" s="181"/>
      <c r="AZ5" s="183"/>
      <c r="BA5" s="179"/>
    </row>
    <row r="6" spans="1:53" s="169" customFormat="1" ht="14.25">
      <c r="A6" s="186" t="s">
        <v>61</v>
      </c>
      <c r="B6" s="369">
        <v>552580</v>
      </c>
      <c r="C6" s="113">
        <v>554751</v>
      </c>
      <c r="D6" s="103">
        <v>4168</v>
      </c>
      <c r="E6" s="104">
        <v>7567</v>
      </c>
      <c r="F6" s="103">
        <v>22155</v>
      </c>
      <c r="G6" s="104">
        <v>33844</v>
      </c>
      <c r="H6" s="103">
        <v>338909</v>
      </c>
      <c r="I6" s="104">
        <v>526923</v>
      </c>
      <c r="J6" s="103">
        <v>276876</v>
      </c>
      <c r="K6" s="104">
        <v>195225</v>
      </c>
      <c r="L6" s="103">
        <v>217174</v>
      </c>
      <c r="M6" s="104">
        <v>159750</v>
      </c>
      <c r="N6" s="103">
        <v>42016</v>
      </c>
      <c r="O6" s="114">
        <v>29503</v>
      </c>
      <c r="P6" s="103">
        <v>75875</v>
      </c>
      <c r="Q6" s="105">
        <v>89484</v>
      </c>
      <c r="R6" s="103">
        <v>248245</v>
      </c>
      <c r="S6" s="105">
        <v>197947</v>
      </c>
      <c r="T6" s="132">
        <v>58030</v>
      </c>
      <c r="U6" s="104">
        <v>44518</v>
      </c>
      <c r="V6" s="132">
        <v>2584501</v>
      </c>
      <c r="W6" s="104">
        <v>1789417</v>
      </c>
      <c r="X6" s="104">
        <v>1782282</v>
      </c>
      <c r="Y6" s="491">
        <v>1221563</v>
      </c>
      <c r="Z6" s="1180">
        <v>88144</v>
      </c>
      <c r="AA6" s="1181">
        <v>25435</v>
      </c>
      <c r="AB6" s="103">
        <v>146918</v>
      </c>
      <c r="AC6" s="104">
        <v>78004</v>
      </c>
      <c r="AD6" s="132">
        <v>374785</v>
      </c>
      <c r="AE6" s="104">
        <v>373364</v>
      </c>
      <c r="AF6" s="103">
        <v>1146058</v>
      </c>
      <c r="AG6" s="104">
        <v>1037680</v>
      </c>
      <c r="AH6" s="103">
        <v>317690</v>
      </c>
      <c r="AI6" s="104">
        <v>215533</v>
      </c>
      <c r="AJ6" s="103">
        <v>256798</v>
      </c>
      <c r="AK6" s="104">
        <v>125099</v>
      </c>
      <c r="AL6" s="492"/>
      <c r="AM6" s="104"/>
      <c r="AN6" s="217">
        <v>1403336</v>
      </c>
      <c r="AO6" s="214">
        <v>1002968</v>
      </c>
      <c r="AP6" s="493">
        <v>117457</v>
      </c>
      <c r="AQ6" s="118">
        <v>83864</v>
      </c>
      <c r="AR6" s="119">
        <v>133027</v>
      </c>
      <c r="AS6" s="120">
        <v>89492</v>
      </c>
      <c r="AT6" s="103">
        <v>1029707</v>
      </c>
      <c r="AU6" s="104">
        <v>1314323</v>
      </c>
      <c r="AV6" s="122">
        <f t="shared" ref="AV6:AV26" si="0">SUM(B6+D6+F6+H6+J6+L6+N6+P6+R6+T6+V6+X6+Z6+AB6+AD6+AF6+AH6+AJ6+AL6+AN6+AP6+AR6+AT6)</f>
        <v>11216731</v>
      </c>
      <c r="AW6" s="133">
        <f t="shared" ref="AW6:AW26" si="1">SUM(C6+E6+G6+I6+K6+M6+O6+Q6+S6+U6+W6+Y6+AA6+AC6+AE6+AG6+AI6+AK6+AM6+AO6+AQ6+AS6+AU6)</f>
        <v>9196254</v>
      </c>
      <c r="AX6" s="119">
        <v>16579422</v>
      </c>
      <c r="AY6" s="120">
        <v>14065139</v>
      </c>
      <c r="AZ6" s="122">
        <f t="shared" ref="AZ6:AZ26" si="2">AV6+AX6</f>
        <v>27796153</v>
      </c>
      <c r="BA6" s="123">
        <f t="shared" ref="BA6:BA26" si="3">AW6+AY6</f>
        <v>23261393</v>
      </c>
    </row>
    <row r="7" spans="1:53" s="169" customFormat="1" ht="14.25">
      <c r="A7" s="186" t="s">
        <v>62</v>
      </c>
      <c r="B7" s="369">
        <v>221433</v>
      </c>
      <c r="C7" s="113">
        <v>220659</v>
      </c>
      <c r="D7" s="103">
        <v>4381</v>
      </c>
      <c r="E7" s="104">
        <v>4718</v>
      </c>
      <c r="F7" s="103">
        <v>13817</v>
      </c>
      <c r="G7" s="104">
        <v>4657</v>
      </c>
      <c r="H7" s="103">
        <v>101716</v>
      </c>
      <c r="I7" s="104">
        <v>143957</v>
      </c>
      <c r="J7" s="103">
        <v>79361</v>
      </c>
      <c r="K7" s="104">
        <v>89687</v>
      </c>
      <c r="L7" s="103">
        <v>92321</v>
      </c>
      <c r="M7" s="104">
        <v>110865</v>
      </c>
      <c r="N7" s="103">
        <v>27362</v>
      </c>
      <c r="O7" s="114">
        <v>23617</v>
      </c>
      <c r="P7" s="103">
        <v>20833</v>
      </c>
      <c r="Q7" s="105">
        <v>21151</v>
      </c>
      <c r="R7" s="103">
        <v>66464</v>
      </c>
      <c r="S7" s="105">
        <v>104629</v>
      </c>
      <c r="T7" s="132">
        <v>12643</v>
      </c>
      <c r="U7" s="104">
        <v>1875</v>
      </c>
      <c r="V7" s="132">
        <v>335283</v>
      </c>
      <c r="W7" s="104">
        <v>481829</v>
      </c>
      <c r="X7" s="104">
        <v>736712</v>
      </c>
      <c r="Y7" s="491">
        <v>716533</v>
      </c>
      <c r="Z7" s="1180">
        <v>32578</v>
      </c>
      <c r="AA7" s="1181">
        <v>26147</v>
      </c>
      <c r="AB7" s="103">
        <v>59615</v>
      </c>
      <c r="AC7" s="104">
        <v>69532</v>
      </c>
      <c r="AD7" s="132">
        <v>181654</v>
      </c>
      <c r="AE7" s="104">
        <v>139898</v>
      </c>
      <c r="AF7" s="103">
        <v>406774</v>
      </c>
      <c r="AG7" s="104">
        <v>426283</v>
      </c>
      <c r="AH7" s="103">
        <v>140375</v>
      </c>
      <c r="AI7" s="104">
        <v>136011</v>
      </c>
      <c r="AJ7" s="103">
        <v>118682</v>
      </c>
      <c r="AK7" s="104">
        <v>126973</v>
      </c>
      <c r="AL7" s="492"/>
      <c r="AM7" s="104"/>
      <c r="AN7" s="217">
        <v>900927</v>
      </c>
      <c r="AO7" s="214">
        <v>1112280</v>
      </c>
      <c r="AP7" s="493">
        <v>45349</v>
      </c>
      <c r="AQ7" s="118">
        <v>30641</v>
      </c>
      <c r="AR7" s="119">
        <v>131379</v>
      </c>
      <c r="AS7" s="120">
        <v>162347</v>
      </c>
      <c r="AT7" s="103">
        <v>187052</v>
      </c>
      <c r="AU7" s="104">
        <v>277863</v>
      </c>
      <c r="AV7" s="122">
        <f t="shared" si="0"/>
        <v>3916711</v>
      </c>
      <c r="AW7" s="133">
        <f t="shared" si="1"/>
        <v>4432152</v>
      </c>
      <c r="AX7" s="119">
        <v>21283466</v>
      </c>
      <c r="AY7" s="120">
        <v>20630011</v>
      </c>
      <c r="AZ7" s="122">
        <f t="shared" si="2"/>
        <v>25200177</v>
      </c>
      <c r="BA7" s="123">
        <f t="shared" si="3"/>
        <v>25062163</v>
      </c>
    </row>
    <row r="8" spans="1:53" s="169" customFormat="1" ht="14.25">
      <c r="A8" s="186" t="s">
        <v>63</v>
      </c>
      <c r="B8" s="369">
        <v>19222</v>
      </c>
      <c r="C8" s="113">
        <v>4505</v>
      </c>
      <c r="D8" s="103">
        <v>2</v>
      </c>
      <c r="E8" s="104">
        <v>25</v>
      </c>
      <c r="F8" s="103">
        <v>-12</v>
      </c>
      <c r="G8" s="104">
        <v>80</v>
      </c>
      <c r="H8" s="103">
        <v>127953</v>
      </c>
      <c r="I8" s="104">
        <v>33925</v>
      </c>
      <c r="J8" s="103">
        <v>1843</v>
      </c>
      <c r="K8" s="104">
        <v>1706</v>
      </c>
      <c r="L8" s="103">
        <v>6877</v>
      </c>
      <c r="M8" s="104">
        <v>24319</v>
      </c>
      <c r="N8" s="103">
        <v>21558</v>
      </c>
      <c r="O8" s="114">
        <v>2300</v>
      </c>
      <c r="P8" s="103">
        <v>265</v>
      </c>
      <c r="Q8" s="105">
        <v>538</v>
      </c>
      <c r="R8" s="103">
        <v>2812</v>
      </c>
      <c r="S8" s="105">
        <v>550</v>
      </c>
      <c r="T8" s="132">
        <v>1004</v>
      </c>
      <c r="U8" s="104">
        <v>160</v>
      </c>
      <c r="V8" s="132">
        <v>302489</v>
      </c>
      <c r="W8" s="104">
        <v>109654</v>
      </c>
      <c r="X8" s="104">
        <v>129389</v>
      </c>
      <c r="Y8" s="491">
        <v>63501</v>
      </c>
      <c r="Z8" s="1180">
        <v>16338</v>
      </c>
      <c r="AA8" s="1181">
        <v>9149</v>
      </c>
      <c r="AB8" s="103">
        <v>17238</v>
      </c>
      <c r="AC8" s="104">
        <v>9508</v>
      </c>
      <c r="AD8" s="132">
        <v>85550</v>
      </c>
      <c r="AE8" s="104">
        <v>49398</v>
      </c>
      <c r="AF8" s="103">
        <v>31118</v>
      </c>
      <c r="AG8" s="104">
        <v>17083</v>
      </c>
      <c r="AH8" s="103">
        <v>28964</v>
      </c>
      <c r="AI8" s="104">
        <v>15869</v>
      </c>
      <c r="AJ8" s="103">
        <v>1031</v>
      </c>
      <c r="AK8" s="104">
        <v>537</v>
      </c>
      <c r="AL8" s="492"/>
      <c r="AM8" s="104"/>
      <c r="AN8" s="217">
        <v>189458</v>
      </c>
      <c r="AO8" s="214">
        <v>138195</v>
      </c>
      <c r="AP8" s="493">
        <v>1145</v>
      </c>
      <c r="AQ8" s="118">
        <v>901</v>
      </c>
      <c r="AR8" s="119">
        <v>7711</v>
      </c>
      <c r="AS8" s="120">
        <v>7850</v>
      </c>
      <c r="AT8" s="103">
        <v>19588</v>
      </c>
      <c r="AU8" s="104">
        <v>32089</v>
      </c>
      <c r="AV8" s="122">
        <f t="shared" si="0"/>
        <v>1011543</v>
      </c>
      <c r="AW8" s="133">
        <f t="shared" si="1"/>
        <v>521842</v>
      </c>
      <c r="AX8" s="119">
        <v>772384</v>
      </c>
      <c r="AY8" s="120">
        <v>731893</v>
      </c>
      <c r="AZ8" s="122">
        <f t="shared" si="2"/>
        <v>1783927</v>
      </c>
      <c r="BA8" s="123">
        <f t="shared" si="3"/>
        <v>1253735</v>
      </c>
    </row>
    <row r="9" spans="1:53" s="169" customFormat="1" ht="14.25">
      <c r="A9" s="186" t="e">
        <f>- Other Commission</f>
        <v>#NAME?</v>
      </c>
      <c r="B9" s="369"/>
      <c r="C9" s="1136"/>
      <c r="D9" s="103"/>
      <c r="E9" s="132"/>
      <c r="F9" s="103"/>
      <c r="G9" s="132"/>
      <c r="H9" s="103"/>
      <c r="I9" s="132"/>
      <c r="J9" s="103"/>
      <c r="K9" s="132"/>
      <c r="L9" s="103"/>
      <c r="M9" s="132"/>
      <c r="N9" s="103"/>
      <c r="O9" s="1010"/>
      <c r="P9" s="103"/>
      <c r="Q9" s="837"/>
      <c r="R9" s="103"/>
      <c r="S9" s="837"/>
      <c r="T9" s="132"/>
      <c r="U9" s="132"/>
      <c r="V9" s="132"/>
      <c r="W9" s="132"/>
      <c r="X9" s="132"/>
      <c r="Y9" s="491"/>
      <c r="Z9" s="1180"/>
      <c r="AA9" s="1182"/>
      <c r="AB9" s="103"/>
      <c r="AC9" s="132"/>
      <c r="AD9" s="132"/>
      <c r="AE9" s="132"/>
      <c r="AF9" s="103"/>
      <c r="AG9" s="132"/>
      <c r="AH9" s="103"/>
      <c r="AI9" s="132"/>
      <c r="AJ9" s="103"/>
      <c r="AK9" s="132"/>
      <c r="AL9" s="492"/>
      <c r="AM9" s="132"/>
      <c r="AN9" s="217"/>
      <c r="AO9" s="1137"/>
      <c r="AP9" s="493"/>
      <c r="AQ9" s="1138"/>
      <c r="AR9" s="119"/>
      <c r="AS9" s="120"/>
      <c r="AT9" s="103"/>
      <c r="AU9" s="104"/>
      <c r="AV9" s="122"/>
      <c r="AW9" s="133"/>
      <c r="AX9" s="119"/>
      <c r="AY9" s="371">
        <v>487</v>
      </c>
      <c r="AZ9" s="122"/>
      <c r="BA9" s="123"/>
    </row>
    <row r="10" spans="1:53" s="498" customFormat="1" ht="14.25">
      <c r="A10" s="187" t="s">
        <v>54</v>
      </c>
      <c r="B10" s="96">
        <f t="shared" ref="B10:AU10" si="4">SUM(B6:B8)</f>
        <v>793235</v>
      </c>
      <c r="C10" s="96">
        <f t="shared" si="4"/>
        <v>779915</v>
      </c>
      <c r="D10" s="122">
        <f t="shared" si="4"/>
        <v>8551</v>
      </c>
      <c r="E10" s="122">
        <f t="shared" si="4"/>
        <v>12310</v>
      </c>
      <c r="F10" s="122">
        <f t="shared" si="4"/>
        <v>35960</v>
      </c>
      <c r="G10" s="133">
        <f t="shared" si="4"/>
        <v>38581</v>
      </c>
      <c r="H10" s="122">
        <f t="shared" si="4"/>
        <v>568578</v>
      </c>
      <c r="I10" s="133">
        <f t="shared" si="4"/>
        <v>704805</v>
      </c>
      <c r="J10" s="122">
        <f t="shared" si="4"/>
        <v>358080</v>
      </c>
      <c r="K10" s="133">
        <f t="shared" si="4"/>
        <v>286618</v>
      </c>
      <c r="L10" s="122">
        <f t="shared" si="4"/>
        <v>316372</v>
      </c>
      <c r="M10" s="133">
        <f t="shared" si="4"/>
        <v>294934</v>
      </c>
      <c r="N10" s="122">
        <f t="shared" si="4"/>
        <v>90936</v>
      </c>
      <c r="O10" s="134">
        <f t="shared" si="4"/>
        <v>55420</v>
      </c>
      <c r="P10" s="122">
        <f t="shared" si="4"/>
        <v>96973</v>
      </c>
      <c r="Q10" s="135">
        <f t="shared" si="4"/>
        <v>111173</v>
      </c>
      <c r="R10" s="122">
        <f t="shared" si="4"/>
        <v>317521</v>
      </c>
      <c r="S10" s="135">
        <f t="shared" si="4"/>
        <v>303126</v>
      </c>
      <c r="T10" s="133">
        <f t="shared" si="4"/>
        <v>71677</v>
      </c>
      <c r="U10" s="133">
        <f t="shared" si="4"/>
        <v>46553</v>
      </c>
      <c r="V10" s="133">
        <f t="shared" si="4"/>
        <v>3222273</v>
      </c>
      <c r="W10" s="133">
        <f t="shared" si="4"/>
        <v>2380900</v>
      </c>
      <c r="X10" s="133">
        <f t="shared" si="4"/>
        <v>2648383</v>
      </c>
      <c r="Y10" s="134">
        <f t="shared" si="4"/>
        <v>2001597</v>
      </c>
      <c r="Z10" s="122">
        <f t="shared" si="4"/>
        <v>137060</v>
      </c>
      <c r="AA10" s="135">
        <f t="shared" si="4"/>
        <v>60731</v>
      </c>
      <c r="AB10" s="122">
        <f t="shared" si="4"/>
        <v>223771</v>
      </c>
      <c r="AC10" s="133">
        <f t="shared" si="4"/>
        <v>157044</v>
      </c>
      <c r="AD10" s="133">
        <f t="shared" si="4"/>
        <v>641989</v>
      </c>
      <c r="AE10" s="133">
        <f t="shared" si="4"/>
        <v>562660</v>
      </c>
      <c r="AF10" s="122">
        <f t="shared" si="4"/>
        <v>1583950</v>
      </c>
      <c r="AG10" s="133">
        <f t="shared" si="4"/>
        <v>1481046</v>
      </c>
      <c r="AH10" s="122">
        <f t="shared" si="4"/>
        <v>487029</v>
      </c>
      <c r="AI10" s="133">
        <f t="shared" si="4"/>
        <v>367413</v>
      </c>
      <c r="AJ10" s="122">
        <f t="shared" si="4"/>
        <v>376511</v>
      </c>
      <c r="AK10" s="133">
        <f t="shared" si="4"/>
        <v>252609</v>
      </c>
      <c r="AL10" s="122">
        <f t="shared" si="4"/>
        <v>0</v>
      </c>
      <c r="AM10" s="133">
        <f t="shared" si="4"/>
        <v>0</v>
      </c>
      <c r="AN10" s="122">
        <f t="shared" si="4"/>
        <v>2493721</v>
      </c>
      <c r="AO10" s="133">
        <f t="shared" si="4"/>
        <v>2253443</v>
      </c>
      <c r="AP10" s="122">
        <f t="shared" si="4"/>
        <v>163951</v>
      </c>
      <c r="AQ10" s="133">
        <f t="shared" si="4"/>
        <v>115406</v>
      </c>
      <c r="AR10" s="495">
        <f t="shared" si="4"/>
        <v>272117</v>
      </c>
      <c r="AS10" s="192">
        <f t="shared" si="4"/>
        <v>259689</v>
      </c>
      <c r="AT10" s="495">
        <f t="shared" si="4"/>
        <v>1236347</v>
      </c>
      <c r="AU10" s="192">
        <f t="shared" si="4"/>
        <v>1624275</v>
      </c>
      <c r="AV10" s="122">
        <f t="shared" si="0"/>
        <v>16144985</v>
      </c>
      <c r="AW10" s="133">
        <f t="shared" si="1"/>
        <v>14150248</v>
      </c>
      <c r="AX10" s="496">
        <f>SUM(AX6:AX8)</f>
        <v>38635272</v>
      </c>
      <c r="AY10" s="496">
        <f>SUM(AY6:AY9)</f>
        <v>35427530</v>
      </c>
      <c r="AZ10" s="122">
        <f t="shared" si="2"/>
        <v>54780257</v>
      </c>
      <c r="BA10" s="123">
        <f t="shared" si="3"/>
        <v>49577778</v>
      </c>
    </row>
    <row r="11" spans="1:53" s="169" customFormat="1" ht="14.25">
      <c r="A11" s="186" t="s">
        <v>64</v>
      </c>
      <c r="B11" s="96"/>
      <c r="C11" s="499"/>
      <c r="D11" s="122"/>
      <c r="E11" s="126"/>
      <c r="F11" s="122"/>
      <c r="G11" s="126"/>
      <c r="H11" s="122"/>
      <c r="I11" s="126"/>
      <c r="J11" s="122"/>
      <c r="K11" s="126"/>
      <c r="L11" s="122"/>
      <c r="M11" s="126"/>
      <c r="N11" s="122"/>
      <c r="O11" s="128"/>
      <c r="P11" s="122"/>
      <c r="Q11" s="127"/>
      <c r="R11" s="122"/>
      <c r="S11" s="127"/>
      <c r="T11" s="133"/>
      <c r="U11" s="126"/>
      <c r="V11" s="133"/>
      <c r="W11" s="126"/>
      <c r="X11" s="133"/>
      <c r="Y11" s="128"/>
      <c r="Z11" s="1180"/>
      <c r="AA11" s="1181"/>
      <c r="AB11" s="122"/>
      <c r="AC11" s="126"/>
      <c r="AD11" s="500"/>
      <c r="AE11" s="501"/>
      <c r="AF11" s="122"/>
      <c r="AG11" s="126"/>
      <c r="AH11" s="122"/>
      <c r="AI11" s="126"/>
      <c r="AJ11" s="122"/>
      <c r="AK11" s="126"/>
      <c r="AL11" s="492"/>
      <c r="AM11" s="104"/>
      <c r="AN11" s="103"/>
      <c r="AO11" s="104"/>
      <c r="AP11" s="493"/>
      <c r="AQ11" s="118"/>
      <c r="AR11" s="119"/>
      <c r="AS11" s="120"/>
      <c r="AT11" s="122"/>
      <c r="AU11" s="126"/>
      <c r="AV11" s="122">
        <f t="shared" si="0"/>
        <v>0</v>
      </c>
      <c r="AW11" s="133">
        <f t="shared" si="1"/>
        <v>0</v>
      </c>
      <c r="AX11" s="122"/>
      <c r="AY11" s="126"/>
      <c r="AZ11" s="122">
        <f t="shared" si="2"/>
        <v>0</v>
      </c>
      <c r="BA11" s="123">
        <f t="shared" si="3"/>
        <v>0</v>
      </c>
    </row>
    <row r="12" spans="1:53" s="169" customFormat="1" ht="14.25">
      <c r="A12" s="186" t="s">
        <v>65</v>
      </c>
      <c r="B12" s="369"/>
      <c r="C12" s="113"/>
      <c r="D12" s="103"/>
      <c r="E12" s="104"/>
      <c r="F12" s="103"/>
      <c r="G12" s="104"/>
      <c r="H12" s="103">
        <v>-860</v>
      </c>
      <c r="I12" s="104">
        <v>190</v>
      </c>
      <c r="J12" s="103"/>
      <c r="K12" s="104"/>
      <c r="L12" s="103"/>
      <c r="M12" s="104"/>
      <c r="N12" s="103"/>
      <c r="O12" s="114"/>
      <c r="P12" s="103"/>
      <c r="Q12" s="105"/>
      <c r="R12" s="103"/>
      <c r="S12" s="105"/>
      <c r="T12" s="132"/>
      <c r="U12" s="104"/>
      <c r="V12" s="132"/>
      <c r="W12" s="104"/>
      <c r="X12" s="132"/>
      <c r="Y12" s="114"/>
      <c r="Z12" s="103"/>
      <c r="AA12" s="105"/>
      <c r="AB12" s="103"/>
      <c r="AC12" s="104"/>
      <c r="AD12" s="132"/>
      <c r="AE12" s="104"/>
      <c r="AF12" s="103"/>
      <c r="AG12" s="104"/>
      <c r="AH12" s="103"/>
      <c r="AI12" s="104"/>
      <c r="AJ12" s="103"/>
      <c r="AK12" s="104"/>
      <c r="AL12" s="492"/>
      <c r="AM12" s="104"/>
      <c r="AN12" s="103"/>
      <c r="AO12" s="104"/>
      <c r="AP12" s="493"/>
      <c r="AQ12" s="118"/>
      <c r="AR12" s="119"/>
      <c r="AS12" s="120"/>
      <c r="AT12" s="103">
        <v>-1124</v>
      </c>
      <c r="AU12" s="104">
        <v>-581</v>
      </c>
      <c r="AV12" s="122">
        <f t="shared" si="0"/>
        <v>-1984</v>
      </c>
      <c r="AW12" s="133">
        <f t="shared" si="1"/>
        <v>-391</v>
      </c>
      <c r="AX12" s="119"/>
      <c r="AY12" s="120"/>
      <c r="AZ12" s="122">
        <f t="shared" si="2"/>
        <v>-1984</v>
      </c>
      <c r="BA12" s="123">
        <f t="shared" si="3"/>
        <v>-391</v>
      </c>
    </row>
    <row r="13" spans="1:53" s="498" customFormat="1" ht="14.25">
      <c r="A13" s="187" t="s">
        <v>66</v>
      </c>
      <c r="B13" s="96">
        <f t="shared" ref="B13:G13" si="5">B10</f>
        <v>793235</v>
      </c>
      <c r="C13" s="96">
        <f t="shared" si="5"/>
        <v>779915</v>
      </c>
      <c r="D13" s="96">
        <f t="shared" si="5"/>
        <v>8551</v>
      </c>
      <c r="E13" s="96">
        <f t="shared" si="5"/>
        <v>12310</v>
      </c>
      <c r="F13" s="96">
        <f t="shared" si="5"/>
        <v>35960</v>
      </c>
      <c r="G13" s="96">
        <f t="shared" si="5"/>
        <v>38581</v>
      </c>
      <c r="H13" s="96">
        <v>567718</v>
      </c>
      <c r="I13" s="96">
        <f>I10+I12</f>
        <v>704995</v>
      </c>
      <c r="J13" s="96">
        <f t="shared" ref="J13:AG13" si="6">J10</f>
        <v>358080</v>
      </c>
      <c r="K13" s="96">
        <f t="shared" si="6"/>
        <v>286618</v>
      </c>
      <c r="L13" s="96">
        <f t="shared" si="6"/>
        <v>316372</v>
      </c>
      <c r="M13" s="96">
        <f t="shared" si="6"/>
        <v>294934</v>
      </c>
      <c r="N13" s="96">
        <f t="shared" si="6"/>
        <v>90936</v>
      </c>
      <c r="O13" s="494">
        <f t="shared" si="6"/>
        <v>55420</v>
      </c>
      <c r="P13" s="96">
        <f t="shared" si="6"/>
        <v>96973</v>
      </c>
      <c r="Q13" s="502">
        <f t="shared" si="6"/>
        <v>111173</v>
      </c>
      <c r="R13" s="96">
        <f t="shared" si="6"/>
        <v>317521</v>
      </c>
      <c r="S13" s="502">
        <f t="shared" si="6"/>
        <v>303126</v>
      </c>
      <c r="T13" s="125">
        <f t="shared" si="6"/>
        <v>71677</v>
      </c>
      <c r="U13" s="96">
        <f t="shared" si="6"/>
        <v>46553</v>
      </c>
      <c r="V13" s="96">
        <f t="shared" si="6"/>
        <v>3222273</v>
      </c>
      <c r="W13" s="96">
        <f t="shared" si="6"/>
        <v>2380900</v>
      </c>
      <c r="X13" s="96">
        <f t="shared" si="6"/>
        <v>2648383</v>
      </c>
      <c r="Y13" s="494">
        <f t="shared" si="6"/>
        <v>2001597</v>
      </c>
      <c r="Z13" s="96">
        <f t="shared" si="6"/>
        <v>137060</v>
      </c>
      <c r="AA13" s="502">
        <f t="shared" si="6"/>
        <v>60731</v>
      </c>
      <c r="AB13" s="96">
        <f t="shared" si="6"/>
        <v>223771</v>
      </c>
      <c r="AC13" s="96">
        <f t="shared" si="6"/>
        <v>157044</v>
      </c>
      <c r="AD13" s="96">
        <f t="shared" si="6"/>
        <v>641989</v>
      </c>
      <c r="AE13" s="96">
        <f t="shared" si="6"/>
        <v>562660</v>
      </c>
      <c r="AF13" s="122">
        <f t="shared" si="6"/>
        <v>1583950</v>
      </c>
      <c r="AG13" s="122">
        <f t="shared" si="6"/>
        <v>1481046</v>
      </c>
      <c r="AH13" s="122"/>
      <c r="AI13" s="122">
        <f>AI10</f>
        <v>367413</v>
      </c>
      <c r="AJ13" s="122">
        <f>AJ10</f>
        <v>376511</v>
      </c>
      <c r="AK13" s="122">
        <f>AK10</f>
        <v>252609</v>
      </c>
      <c r="AL13" s="122"/>
      <c r="AM13" s="133"/>
      <c r="AN13" s="495"/>
      <c r="AO13" s="192">
        <f>AO10</f>
        <v>2253443</v>
      </c>
      <c r="AP13" s="495">
        <f>AP10</f>
        <v>163951</v>
      </c>
      <c r="AQ13" s="192">
        <f>AQ10</f>
        <v>115406</v>
      </c>
      <c r="AR13" s="495">
        <f>AR10</f>
        <v>272117</v>
      </c>
      <c r="AS13" s="495">
        <f>AS10</f>
        <v>259689</v>
      </c>
      <c r="AT13" s="495">
        <f>AT10+AT12</f>
        <v>1235223</v>
      </c>
      <c r="AU13" s="495">
        <f>AU10+AU12</f>
        <v>1623694</v>
      </c>
      <c r="AV13" s="122">
        <f t="shared" si="0"/>
        <v>13162251</v>
      </c>
      <c r="AW13" s="133">
        <f t="shared" si="1"/>
        <v>14149857</v>
      </c>
      <c r="AX13" s="496">
        <f>AX10</f>
        <v>38635272</v>
      </c>
      <c r="AY13" s="497">
        <f>AY10</f>
        <v>35427530</v>
      </c>
      <c r="AZ13" s="122">
        <f t="shared" si="2"/>
        <v>51797523</v>
      </c>
      <c r="BA13" s="123">
        <f t="shared" si="3"/>
        <v>49577387</v>
      </c>
    </row>
    <row r="14" spans="1:53" s="498" customFormat="1" ht="14.25">
      <c r="A14" s="187" t="s">
        <v>369</v>
      </c>
      <c r="B14" s="96">
        <v>97045</v>
      </c>
      <c r="C14" s="125">
        <v>30004</v>
      </c>
      <c r="D14" s="96"/>
      <c r="E14" s="125"/>
      <c r="F14" s="96">
        <v>2649</v>
      </c>
      <c r="G14" s="125">
        <v>1784</v>
      </c>
      <c r="H14" s="96"/>
      <c r="I14" s="125">
        <v>31505</v>
      </c>
      <c r="J14" s="96">
        <v>23827</v>
      </c>
      <c r="K14" s="125">
        <v>20969</v>
      </c>
      <c r="L14" s="96"/>
      <c r="M14" s="125"/>
      <c r="N14" s="96"/>
      <c r="O14" s="1121">
        <v>250</v>
      </c>
      <c r="P14" s="96"/>
      <c r="Q14" s="1122">
        <v>10873</v>
      </c>
      <c r="R14" s="96"/>
      <c r="S14" s="1122"/>
      <c r="T14" s="125"/>
      <c r="U14" s="125">
        <v>498</v>
      </c>
      <c r="V14" s="125"/>
      <c r="W14" s="125">
        <v>18432</v>
      </c>
      <c r="X14" s="125"/>
      <c r="Y14" s="1121">
        <v>65799</v>
      </c>
      <c r="Z14" s="96"/>
      <c r="AA14" s="1122"/>
      <c r="AB14" s="96"/>
      <c r="AC14" s="125"/>
      <c r="AD14" s="125"/>
      <c r="AE14" s="125">
        <v>9482</v>
      </c>
      <c r="AF14" s="122"/>
      <c r="AG14" s="133">
        <v>78949</v>
      </c>
      <c r="AH14" s="122"/>
      <c r="AI14" s="133">
        <v>9800</v>
      </c>
      <c r="AJ14" s="122"/>
      <c r="AK14" s="133">
        <v>18670</v>
      </c>
      <c r="AL14" s="122"/>
      <c r="AM14" s="133"/>
      <c r="AN14" s="495"/>
      <c r="AO14" s="192">
        <v>84760</v>
      </c>
      <c r="AP14" s="495">
        <v>2176</v>
      </c>
      <c r="AQ14" s="192">
        <v>9896</v>
      </c>
      <c r="AR14" s="495"/>
      <c r="AS14" s="1123"/>
      <c r="AT14" s="495"/>
      <c r="AU14" s="1123">
        <v>179093</v>
      </c>
      <c r="AV14" s="122"/>
      <c r="AW14" s="133"/>
      <c r="AX14" s="496">
        <v>1091519</v>
      </c>
      <c r="AY14" s="497">
        <v>1270369</v>
      </c>
      <c r="AZ14" s="122"/>
      <c r="BA14" s="123"/>
    </row>
    <row r="15" spans="1:53" s="498" customFormat="1" ht="14.25">
      <c r="A15" s="187" t="s">
        <v>370</v>
      </c>
      <c r="B15" s="96">
        <v>890280</v>
      </c>
      <c r="C15" s="125">
        <v>809919</v>
      </c>
      <c r="D15" s="96"/>
      <c r="E15" s="125">
        <v>12310</v>
      </c>
      <c r="F15" s="96">
        <v>38609</v>
      </c>
      <c r="G15" s="125">
        <v>40365</v>
      </c>
      <c r="H15" s="96"/>
      <c r="I15" s="125">
        <v>736500</v>
      </c>
      <c r="J15" s="96">
        <v>381907</v>
      </c>
      <c r="K15" s="125">
        <v>307587</v>
      </c>
      <c r="L15" s="96"/>
      <c r="M15" s="125"/>
      <c r="N15" s="96"/>
      <c r="O15" s="1121">
        <v>55670</v>
      </c>
      <c r="P15" s="96"/>
      <c r="Q15" s="1122">
        <v>122046</v>
      </c>
      <c r="R15" s="96"/>
      <c r="S15" s="1122"/>
      <c r="T15" s="125"/>
      <c r="U15" s="125">
        <v>47051</v>
      </c>
      <c r="V15" s="125"/>
      <c r="W15" s="125">
        <v>2399332</v>
      </c>
      <c r="X15" s="125"/>
      <c r="Y15" s="1121">
        <v>2067396</v>
      </c>
      <c r="Z15" s="96"/>
      <c r="AA15" s="1122"/>
      <c r="AB15" s="96"/>
      <c r="AC15" s="125"/>
      <c r="AD15" s="125"/>
      <c r="AE15" s="125">
        <v>572142</v>
      </c>
      <c r="AF15" s="122"/>
      <c r="AG15" s="133">
        <v>1559995</v>
      </c>
      <c r="AH15" s="122"/>
      <c r="AI15" s="133">
        <f>AI13+AI14</f>
        <v>377213</v>
      </c>
      <c r="AJ15" s="122"/>
      <c r="AK15" s="133">
        <v>271279</v>
      </c>
      <c r="AL15" s="122"/>
      <c r="AM15" s="133"/>
      <c r="AN15" s="495"/>
      <c r="AO15" s="192">
        <f>AO13+AO14</f>
        <v>2338203</v>
      </c>
      <c r="AP15" s="495">
        <f>AP13+AP14</f>
        <v>166127</v>
      </c>
      <c r="AQ15" s="192">
        <f>AQ13+AQ14</f>
        <v>125302</v>
      </c>
      <c r="AR15" s="495"/>
      <c r="AS15" s="1123"/>
      <c r="AT15" s="495"/>
      <c r="AU15" s="1123">
        <f>AU13+AU14</f>
        <v>1802787</v>
      </c>
      <c r="AV15" s="122"/>
      <c r="AW15" s="133"/>
      <c r="AX15" s="496">
        <v>39726791</v>
      </c>
      <c r="AY15" s="497">
        <v>36698899</v>
      </c>
      <c r="AZ15" s="122"/>
      <c r="BA15" s="123"/>
    </row>
    <row r="16" spans="1:53" s="169" customFormat="1" ht="14.25">
      <c r="A16" s="187" t="s">
        <v>67</v>
      </c>
      <c r="B16" s="369"/>
      <c r="C16" s="113"/>
      <c r="D16" s="103"/>
      <c r="E16" s="104"/>
      <c r="F16" s="103"/>
      <c r="G16" s="104"/>
      <c r="H16" s="103"/>
      <c r="I16" s="104"/>
      <c r="J16" s="103"/>
      <c r="K16" s="104"/>
      <c r="L16" s="103"/>
      <c r="M16" s="104"/>
      <c r="N16" s="103"/>
      <c r="O16" s="114"/>
      <c r="P16" s="103"/>
      <c r="Q16" s="105"/>
      <c r="R16" s="103"/>
      <c r="S16" s="105"/>
      <c r="T16" s="132"/>
      <c r="U16" s="104"/>
      <c r="V16" s="132"/>
      <c r="W16" s="104"/>
      <c r="X16" s="132"/>
      <c r="Y16" s="114"/>
      <c r="Z16" s="103"/>
      <c r="AA16" s="105"/>
      <c r="AB16" s="103"/>
      <c r="AC16" s="104"/>
      <c r="AD16" s="132"/>
      <c r="AE16" s="104"/>
      <c r="AF16" s="103"/>
      <c r="AG16" s="104"/>
      <c r="AH16" s="103"/>
      <c r="AI16" s="104"/>
      <c r="AJ16" s="103"/>
      <c r="AK16" s="104"/>
      <c r="AL16" s="492"/>
      <c r="AM16" s="104"/>
      <c r="AN16" s="103"/>
      <c r="AO16" s="104"/>
      <c r="AP16" s="493"/>
      <c r="AQ16" s="118"/>
      <c r="AR16" s="119"/>
      <c r="AS16" s="120"/>
      <c r="AT16" s="103"/>
      <c r="AU16" s="104"/>
      <c r="AV16" s="122">
        <f t="shared" si="0"/>
        <v>0</v>
      </c>
      <c r="AW16" s="133">
        <f t="shared" si="1"/>
        <v>0</v>
      </c>
      <c r="AX16" s="119"/>
      <c r="AY16" s="120"/>
      <c r="AZ16" s="122">
        <f t="shared" si="2"/>
        <v>0</v>
      </c>
      <c r="BA16" s="123">
        <f t="shared" si="3"/>
        <v>0</v>
      </c>
    </row>
    <row r="17" spans="1:53" s="169" customFormat="1" ht="14.25">
      <c r="A17" s="187" t="s">
        <v>68</v>
      </c>
      <c r="B17" s="369"/>
      <c r="C17" s="113"/>
      <c r="D17" s="103"/>
      <c r="E17" s="104"/>
      <c r="F17" s="103"/>
      <c r="G17" s="104"/>
      <c r="H17" s="103"/>
      <c r="I17" s="104"/>
      <c r="J17" s="103"/>
      <c r="K17" s="104"/>
      <c r="L17" s="103"/>
      <c r="M17" s="104"/>
      <c r="N17" s="103"/>
      <c r="O17" s="114"/>
      <c r="P17" s="103"/>
      <c r="Q17" s="105"/>
      <c r="R17" s="103"/>
      <c r="S17" s="105"/>
      <c r="T17" s="132"/>
      <c r="U17" s="104"/>
      <c r="V17" s="132"/>
      <c r="W17" s="104"/>
      <c r="X17" s="132"/>
      <c r="Y17" s="114"/>
      <c r="Z17" s="103"/>
      <c r="AA17" s="105"/>
      <c r="AB17" s="103"/>
      <c r="AC17" s="104"/>
      <c r="AD17" s="132"/>
      <c r="AE17" s="104"/>
      <c r="AF17" s="103"/>
      <c r="AG17" s="104"/>
      <c r="AH17" s="103"/>
      <c r="AI17" s="104"/>
      <c r="AJ17" s="103"/>
      <c r="AK17" s="104"/>
      <c r="AL17" s="492"/>
      <c r="AM17" s="104"/>
      <c r="AN17" s="103"/>
      <c r="AO17" s="104"/>
      <c r="AP17" s="493"/>
      <c r="AQ17" s="118"/>
      <c r="AR17" s="119"/>
      <c r="AS17" s="120"/>
      <c r="AT17" s="103"/>
      <c r="AU17" s="104"/>
      <c r="AV17" s="122">
        <f t="shared" si="0"/>
        <v>0</v>
      </c>
      <c r="AW17" s="133">
        <f t="shared" si="1"/>
        <v>0</v>
      </c>
      <c r="AX17" s="119"/>
      <c r="AY17" s="120"/>
      <c r="AZ17" s="122">
        <f t="shared" si="2"/>
        <v>0</v>
      </c>
      <c r="BA17" s="123">
        <f t="shared" si="3"/>
        <v>0</v>
      </c>
    </row>
    <row r="18" spans="1:53" s="169" customFormat="1" ht="14.25">
      <c r="A18" s="186" t="s">
        <v>69</v>
      </c>
      <c r="B18" s="96">
        <v>399615</v>
      </c>
      <c r="C18" s="499">
        <v>345536</v>
      </c>
      <c r="D18" s="122">
        <v>1206</v>
      </c>
      <c r="E18" s="126">
        <v>286</v>
      </c>
      <c r="F18" s="122">
        <v>15454</v>
      </c>
      <c r="G18" s="126">
        <v>21837</v>
      </c>
      <c r="H18" s="122">
        <v>326663</v>
      </c>
      <c r="I18" s="126">
        <v>433239</v>
      </c>
      <c r="J18" s="122">
        <v>135292</v>
      </c>
      <c r="K18" s="126">
        <v>128814</v>
      </c>
      <c r="L18" s="122"/>
      <c r="M18" s="126">
        <v>996</v>
      </c>
      <c r="N18" s="122">
        <v>49918</v>
      </c>
      <c r="O18" s="128">
        <v>44027</v>
      </c>
      <c r="P18" s="122">
        <v>69593</v>
      </c>
      <c r="Q18" s="127">
        <v>81381</v>
      </c>
      <c r="R18" s="122">
        <v>156961</v>
      </c>
      <c r="S18" s="127">
        <v>240080</v>
      </c>
      <c r="T18" s="133">
        <v>18949</v>
      </c>
      <c r="U18" s="126">
        <f>8485+498</f>
        <v>8983</v>
      </c>
      <c r="V18" s="133">
        <v>648266</v>
      </c>
      <c r="W18" s="126">
        <v>418693</v>
      </c>
      <c r="X18" s="126">
        <v>689980</v>
      </c>
      <c r="Y18" s="128">
        <v>653749</v>
      </c>
      <c r="Z18" s="1180">
        <v>15142</v>
      </c>
      <c r="AA18" s="1181">
        <v>6473</v>
      </c>
      <c r="AB18" s="122">
        <v>16817</v>
      </c>
      <c r="AC18" s="126">
        <v>7730</v>
      </c>
      <c r="AD18" s="500">
        <v>350454</v>
      </c>
      <c r="AE18" s="501">
        <v>283100</v>
      </c>
      <c r="AF18" s="122">
        <v>566272</v>
      </c>
      <c r="AG18" s="126">
        <v>505125</v>
      </c>
      <c r="AH18" s="122">
        <v>46947</v>
      </c>
      <c r="AI18" s="126">
        <v>54566</v>
      </c>
      <c r="AJ18" s="122">
        <v>269435</v>
      </c>
      <c r="AK18" s="126">
        <v>219919</v>
      </c>
      <c r="AL18" s="492"/>
      <c r="AM18" s="104"/>
      <c r="AN18" s="217">
        <v>935365</v>
      </c>
      <c r="AO18" s="214">
        <v>873372</v>
      </c>
      <c r="AP18" s="493">
        <v>28445</v>
      </c>
      <c r="AQ18" s="118">
        <v>20796</v>
      </c>
      <c r="AR18" s="119">
        <v>2377</v>
      </c>
      <c r="AS18" s="120">
        <v>-106</v>
      </c>
      <c r="AT18" s="122">
        <v>447142</v>
      </c>
      <c r="AU18" s="126">
        <v>574231</v>
      </c>
      <c r="AV18" s="122">
        <f t="shared" si="0"/>
        <v>5190293</v>
      </c>
      <c r="AW18" s="133">
        <f t="shared" si="1"/>
        <v>4922827</v>
      </c>
      <c r="AX18" s="122">
        <v>38418055</v>
      </c>
      <c r="AY18" s="126">
        <v>36472866</v>
      </c>
      <c r="AZ18" s="122">
        <f t="shared" si="2"/>
        <v>43608348</v>
      </c>
      <c r="BA18" s="123">
        <f t="shared" si="3"/>
        <v>41395693</v>
      </c>
    </row>
    <row r="19" spans="1:53" s="169" customFormat="1" ht="14.25">
      <c r="A19" s="186" t="s">
        <v>6</v>
      </c>
      <c r="B19" s="369">
        <v>48167</v>
      </c>
      <c r="C19" s="113">
        <v>41506</v>
      </c>
      <c r="D19" s="103">
        <v>4206</v>
      </c>
      <c r="E19" s="104">
        <v>6785</v>
      </c>
      <c r="F19" s="103">
        <v>2023</v>
      </c>
      <c r="G19" s="104">
        <v>3175</v>
      </c>
      <c r="H19" s="103">
        <v>31384</v>
      </c>
      <c r="I19" s="104">
        <v>33885</v>
      </c>
      <c r="J19" s="103">
        <v>210262</v>
      </c>
      <c r="K19" s="104">
        <v>131793</v>
      </c>
      <c r="L19" s="103">
        <v>116</v>
      </c>
      <c r="M19" s="104">
        <v>1680</v>
      </c>
      <c r="N19" s="103">
        <v>5187</v>
      </c>
      <c r="O19" s="114">
        <v>1859</v>
      </c>
      <c r="P19" s="103">
        <v>7992</v>
      </c>
      <c r="Q19" s="105">
        <v>14389</v>
      </c>
      <c r="R19" s="103">
        <v>118181</v>
      </c>
      <c r="S19" s="105">
        <v>67855</v>
      </c>
      <c r="T19" s="132">
        <v>12515</v>
      </c>
      <c r="U19" s="104">
        <v>6405</v>
      </c>
      <c r="V19" s="132">
        <v>245959</v>
      </c>
      <c r="W19" s="104">
        <v>179701</v>
      </c>
      <c r="X19" s="104">
        <v>190106</v>
      </c>
      <c r="Y19" s="114">
        <v>172193</v>
      </c>
      <c r="Z19" s="1180">
        <v>-115</v>
      </c>
      <c r="AA19" s="1181">
        <v>391</v>
      </c>
      <c r="AB19" s="103">
        <v>10140</v>
      </c>
      <c r="AC19" s="104">
        <v>2917</v>
      </c>
      <c r="AD19" s="132">
        <v>54363</v>
      </c>
      <c r="AE19" s="104">
        <v>42177</v>
      </c>
      <c r="AF19" s="103">
        <v>8785</v>
      </c>
      <c r="AG19" s="104">
        <v>17062</v>
      </c>
      <c r="AH19" s="103">
        <v>22214</v>
      </c>
      <c r="AI19" s="104">
        <v>33960</v>
      </c>
      <c r="AJ19" s="103">
        <v>55829</v>
      </c>
      <c r="AK19" s="104">
        <v>26232</v>
      </c>
      <c r="AL19" s="492"/>
      <c r="AM19" s="104"/>
      <c r="AN19" s="217">
        <v>10069</v>
      </c>
      <c r="AO19" s="214">
        <v>11200</v>
      </c>
      <c r="AP19" s="493">
        <v>12199</v>
      </c>
      <c r="AQ19" s="118">
        <v>21175</v>
      </c>
      <c r="AR19" s="119">
        <v>406</v>
      </c>
      <c r="AS19" s="120">
        <v>894</v>
      </c>
      <c r="AT19" s="103">
        <v>130026</v>
      </c>
      <c r="AU19" s="104">
        <v>133245</v>
      </c>
      <c r="AV19" s="122">
        <f t="shared" si="0"/>
        <v>1180014</v>
      </c>
      <c r="AW19" s="133">
        <f t="shared" si="1"/>
        <v>950479</v>
      </c>
      <c r="AX19" s="103">
        <v>4302</v>
      </c>
      <c r="AY19" s="104">
        <v>5067</v>
      </c>
      <c r="AZ19" s="122">
        <f t="shared" si="2"/>
        <v>1184316</v>
      </c>
      <c r="BA19" s="123">
        <f t="shared" si="3"/>
        <v>955546</v>
      </c>
    </row>
    <row r="20" spans="1:53" s="169" customFormat="1" ht="14.25">
      <c r="A20" s="186" t="s">
        <v>70</v>
      </c>
      <c r="B20" s="369">
        <v>345453</v>
      </c>
      <c r="C20" s="113">
        <v>392873</v>
      </c>
      <c r="D20" s="103">
        <v>2683</v>
      </c>
      <c r="E20" s="104">
        <v>3703</v>
      </c>
      <c r="F20" s="103">
        <v>12125</v>
      </c>
      <c r="G20" s="104">
        <v>11145</v>
      </c>
      <c r="H20" s="103">
        <v>196018</v>
      </c>
      <c r="I20" s="104">
        <v>235570</v>
      </c>
      <c r="J20" s="103">
        <v>36353</v>
      </c>
      <c r="K20" s="104">
        <v>46980</v>
      </c>
      <c r="L20" s="103">
        <v>2048</v>
      </c>
      <c r="M20" s="104">
        <v>966</v>
      </c>
      <c r="N20" s="103">
        <v>24797</v>
      </c>
      <c r="O20" s="114">
        <v>9090</v>
      </c>
      <c r="P20" s="103">
        <v>19388</v>
      </c>
      <c r="Q20" s="105">
        <v>26184</v>
      </c>
      <c r="R20" s="103">
        <v>23034</v>
      </c>
      <c r="S20" s="105">
        <v>5545</v>
      </c>
      <c r="T20" s="132">
        <v>40213</v>
      </c>
      <c r="U20" s="104">
        <v>29622</v>
      </c>
      <c r="V20" s="132">
        <v>2307569</v>
      </c>
      <c r="W20" s="104">
        <v>1799009</v>
      </c>
      <c r="X20" s="104">
        <v>1719702</v>
      </c>
      <c r="Y20" s="114">
        <v>1111695</v>
      </c>
      <c r="Z20" s="1180">
        <v>122033</v>
      </c>
      <c r="AA20" s="1181">
        <v>53867</v>
      </c>
      <c r="AB20" s="103">
        <v>196352</v>
      </c>
      <c r="AC20" s="104">
        <v>144747</v>
      </c>
      <c r="AD20" s="132">
        <v>237099</v>
      </c>
      <c r="AE20" s="104">
        <v>237324</v>
      </c>
      <c r="AF20" s="103">
        <v>37232</v>
      </c>
      <c r="AG20" s="104">
        <v>26674</v>
      </c>
      <c r="AH20" s="103">
        <v>417868</v>
      </c>
      <c r="AI20" s="104">
        <v>288687</v>
      </c>
      <c r="AJ20" s="103">
        <v>51243</v>
      </c>
      <c r="AK20" s="104">
        <v>25057</v>
      </c>
      <c r="AL20" s="492"/>
      <c r="AM20" s="104"/>
      <c r="AN20" s="217">
        <v>30472</v>
      </c>
      <c r="AO20" s="214">
        <v>44620</v>
      </c>
      <c r="AP20" s="493">
        <v>125483</v>
      </c>
      <c r="AQ20" s="118">
        <v>83257</v>
      </c>
      <c r="AR20" s="119"/>
      <c r="AS20" s="120"/>
      <c r="AT20" s="103">
        <v>14106</v>
      </c>
      <c r="AU20" s="104">
        <v>15669</v>
      </c>
      <c r="AV20" s="122">
        <f t="shared" si="0"/>
        <v>5961271</v>
      </c>
      <c r="AW20" s="133">
        <f t="shared" si="1"/>
        <v>4592284</v>
      </c>
      <c r="AX20" s="103">
        <v>35754</v>
      </c>
      <c r="AY20" s="104">
        <v>23273</v>
      </c>
      <c r="AZ20" s="122">
        <f t="shared" si="2"/>
        <v>5997025</v>
      </c>
      <c r="BA20" s="123">
        <f t="shared" si="3"/>
        <v>4615557</v>
      </c>
    </row>
    <row r="21" spans="1:53" s="169" customFormat="1" ht="14.25">
      <c r="A21" s="186" t="s">
        <v>71</v>
      </c>
      <c r="B21" s="369"/>
      <c r="C21" s="113"/>
      <c r="D21" s="103"/>
      <c r="E21" s="104"/>
      <c r="F21" s="103"/>
      <c r="G21" s="104"/>
      <c r="H21" s="103"/>
      <c r="I21" s="104"/>
      <c r="J21" s="103"/>
      <c r="K21" s="104"/>
      <c r="L21" s="103">
        <v>314143</v>
      </c>
      <c r="M21" s="104">
        <v>288826</v>
      </c>
      <c r="N21" s="103">
        <v>6547</v>
      </c>
      <c r="O21" s="114"/>
      <c r="P21" s="103"/>
      <c r="Q21" s="105"/>
      <c r="R21" s="103">
        <v>17420</v>
      </c>
      <c r="S21" s="105">
        <v>1015</v>
      </c>
      <c r="T21" s="132"/>
      <c r="U21" s="104"/>
      <c r="V21" s="132"/>
      <c r="W21" s="104"/>
      <c r="X21" s="132"/>
      <c r="Y21" s="114"/>
      <c r="Z21" s="1180"/>
      <c r="AA21" s="1181"/>
      <c r="AB21" s="103"/>
      <c r="AC21" s="104"/>
      <c r="AD21" s="132"/>
      <c r="AE21" s="104"/>
      <c r="AF21" s="103">
        <v>971661</v>
      </c>
      <c r="AG21" s="104">
        <v>1011134</v>
      </c>
      <c r="AH21" s="103"/>
      <c r="AI21" s="104"/>
      <c r="AJ21" s="103"/>
      <c r="AK21" s="104"/>
      <c r="AL21" s="492"/>
      <c r="AM21" s="104"/>
      <c r="AN21" s="217">
        <v>1516723</v>
      </c>
      <c r="AO21" s="214">
        <v>1323352</v>
      </c>
      <c r="AP21" s="493"/>
      <c r="AQ21" s="118"/>
      <c r="AR21" s="119">
        <v>269334</v>
      </c>
      <c r="AS21" s="120">
        <v>258901</v>
      </c>
      <c r="AT21" s="103">
        <v>645073</v>
      </c>
      <c r="AU21" s="104">
        <v>813437</v>
      </c>
      <c r="AV21" s="122">
        <f t="shared" si="0"/>
        <v>3740901</v>
      </c>
      <c r="AW21" s="133">
        <f t="shared" si="1"/>
        <v>3696665</v>
      </c>
      <c r="AX21" s="103">
        <v>175771</v>
      </c>
      <c r="AY21" s="104">
        <v>186830</v>
      </c>
      <c r="AZ21" s="122">
        <f t="shared" si="2"/>
        <v>3916672</v>
      </c>
      <c r="BA21" s="123">
        <f t="shared" si="3"/>
        <v>3883495</v>
      </c>
    </row>
    <row r="22" spans="1:53" s="169" customFormat="1" ht="14.25">
      <c r="A22" s="186" t="s">
        <v>72</v>
      </c>
      <c r="B22" s="369"/>
      <c r="C22" s="113"/>
      <c r="D22" s="103"/>
      <c r="E22" s="104"/>
      <c r="F22" s="103"/>
      <c r="G22" s="104"/>
      <c r="H22" s="103">
        <v>14513</v>
      </c>
      <c r="I22" s="104">
        <v>2111</v>
      </c>
      <c r="J22" s="103"/>
      <c r="K22" s="104"/>
      <c r="L22" s="103"/>
      <c r="M22" s="104"/>
      <c r="N22" s="103">
        <v>4252</v>
      </c>
      <c r="O22" s="114">
        <v>444</v>
      </c>
      <c r="P22" s="103"/>
      <c r="Q22" s="105"/>
      <c r="R22" s="103"/>
      <c r="S22" s="105">
        <v>9054</v>
      </c>
      <c r="T22" s="132"/>
      <c r="U22" s="104"/>
      <c r="V22" s="132">
        <v>756</v>
      </c>
      <c r="W22" s="104">
        <v>150</v>
      </c>
      <c r="X22" s="132"/>
      <c r="Y22" s="114"/>
      <c r="Z22" s="1180"/>
      <c r="AA22" s="1181"/>
      <c r="AB22" s="103"/>
      <c r="AC22" s="104"/>
      <c r="AD22" s="132"/>
      <c r="AE22" s="104"/>
      <c r="AF22" s="103"/>
      <c r="AG22" s="104"/>
      <c r="AH22" s="103"/>
      <c r="AI22" s="104"/>
      <c r="AJ22" s="103"/>
      <c r="AK22" s="104"/>
      <c r="AL22" s="492"/>
      <c r="AM22" s="104"/>
      <c r="AN22" s="103"/>
      <c r="AO22" s="104"/>
      <c r="AP22" s="493"/>
      <c r="AQ22" s="118"/>
      <c r="AR22" s="119"/>
      <c r="AS22" s="120"/>
      <c r="AT22" s="103"/>
      <c r="AU22" s="104"/>
      <c r="AV22" s="122">
        <f t="shared" si="0"/>
        <v>19521</v>
      </c>
      <c r="AW22" s="133">
        <f t="shared" si="1"/>
        <v>11759</v>
      </c>
      <c r="AX22" s="103"/>
      <c r="AY22" s="104"/>
      <c r="AZ22" s="122">
        <f t="shared" si="2"/>
        <v>19521</v>
      </c>
      <c r="BA22" s="123">
        <f t="shared" si="3"/>
        <v>11759</v>
      </c>
    </row>
    <row r="23" spans="1:53" s="169" customFormat="1" ht="14.25">
      <c r="A23" s="186" t="s">
        <v>15</v>
      </c>
      <c r="B23" s="96"/>
      <c r="C23" s="499"/>
      <c r="D23" s="122"/>
      <c r="E23" s="126"/>
      <c r="F23" s="122"/>
      <c r="G23" s="126"/>
      <c r="H23" s="122"/>
      <c r="I23" s="126"/>
      <c r="J23" s="122"/>
      <c r="K23" s="126"/>
      <c r="L23" s="122"/>
      <c r="M23" s="126"/>
      <c r="N23" s="122"/>
      <c r="O23" s="128"/>
      <c r="P23" s="122"/>
      <c r="Q23" s="127"/>
      <c r="R23" s="122"/>
      <c r="S23" s="127"/>
      <c r="T23" s="133"/>
      <c r="U23" s="126"/>
      <c r="V23" s="133"/>
      <c r="W23" s="126"/>
      <c r="X23" s="133"/>
      <c r="Y23" s="128"/>
      <c r="Z23" s="1180"/>
      <c r="AA23" s="1181"/>
      <c r="AB23" s="122">
        <v>463</v>
      </c>
      <c r="AC23" s="126">
        <v>1650</v>
      </c>
      <c r="AD23" s="500"/>
      <c r="AE23" s="501"/>
      <c r="AF23" s="122"/>
      <c r="AG23" s="126"/>
      <c r="AH23" s="122"/>
      <c r="AI23" s="126"/>
      <c r="AJ23" s="122"/>
      <c r="AK23" s="126"/>
      <c r="AL23" s="492"/>
      <c r="AM23" s="104"/>
      <c r="AN23" s="217"/>
      <c r="AO23" s="214"/>
      <c r="AP23" s="493"/>
      <c r="AQ23" s="118"/>
      <c r="AR23" s="119"/>
      <c r="AS23" s="120"/>
      <c r="AT23" s="122"/>
      <c r="AU23" s="126"/>
      <c r="AV23" s="122">
        <f t="shared" si="0"/>
        <v>463</v>
      </c>
      <c r="AW23" s="133">
        <f t="shared" si="1"/>
        <v>1650</v>
      </c>
      <c r="AX23" s="122"/>
      <c r="AY23" s="126"/>
      <c r="AZ23" s="122">
        <f t="shared" si="2"/>
        <v>463</v>
      </c>
      <c r="BA23" s="123">
        <f t="shared" si="3"/>
        <v>1650</v>
      </c>
    </row>
    <row r="24" spans="1:53" s="169" customFormat="1" ht="14.25">
      <c r="A24" s="186" t="s">
        <v>17</v>
      </c>
      <c r="B24" s="369"/>
      <c r="C24" s="113"/>
      <c r="D24" s="103"/>
      <c r="E24" s="104"/>
      <c r="F24" s="103">
        <v>6358</v>
      </c>
      <c r="G24" s="104">
        <v>4200</v>
      </c>
      <c r="H24" s="103"/>
      <c r="I24" s="104"/>
      <c r="J24" s="103"/>
      <c r="K24" s="104"/>
      <c r="L24" s="103"/>
      <c r="M24" s="104"/>
      <c r="N24" s="103"/>
      <c r="O24" s="114"/>
      <c r="P24" s="103"/>
      <c r="Q24" s="105"/>
      <c r="R24" s="103">
        <v>82</v>
      </c>
      <c r="S24" s="105">
        <v>19</v>
      </c>
      <c r="T24" s="132"/>
      <c r="U24" s="104">
        <v>1992</v>
      </c>
      <c r="V24" s="132">
        <v>2417</v>
      </c>
      <c r="W24" s="104">
        <v>1779</v>
      </c>
      <c r="X24" s="132">
        <v>3271</v>
      </c>
      <c r="Y24" s="114">
        <v>5077</v>
      </c>
      <c r="Z24" s="1180"/>
      <c r="AA24" s="1181"/>
      <c r="AB24" s="103"/>
      <c r="AC24" s="104"/>
      <c r="AD24" s="132"/>
      <c r="AE24" s="104"/>
      <c r="AF24" s="103"/>
      <c r="AG24" s="104"/>
      <c r="AH24" s="103"/>
      <c r="AI24" s="104"/>
      <c r="AJ24" s="103"/>
      <c r="AK24" s="104"/>
      <c r="AL24" s="492"/>
      <c r="AM24" s="104"/>
      <c r="AN24" s="217">
        <v>41</v>
      </c>
      <c r="AO24" s="214">
        <v>96</v>
      </c>
      <c r="AP24" s="493"/>
      <c r="AQ24" s="118"/>
      <c r="AR24" s="119"/>
      <c r="AS24" s="120"/>
      <c r="AT24" s="103"/>
      <c r="AU24" s="104"/>
      <c r="AV24" s="122">
        <f t="shared" si="0"/>
        <v>12169</v>
      </c>
      <c r="AW24" s="133">
        <f t="shared" si="1"/>
        <v>13163</v>
      </c>
      <c r="AX24" s="119">
        <v>1390</v>
      </c>
      <c r="AY24" s="120">
        <v>10863</v>
      </c>
      <c r="AZ24" s="122">
        <f t="shared" si="2"/>
        <v>13559</v>
      </c>
      <c r="BA24" s="123">
        <f t="shared" si="3"/>
        <v>24026</v>
      </c>
    </row>
    <row r="25" spans="1:53" s="169" customFormat="1" ht="14.25">
      <c r="A25" s="186" t="s">
        <v>73</v>
      </c>
      <c r="B25" s="369"/>
      <c r="C25" s="113"/>
      <c r="D25" s="103">
        <v>456</v>
      </c>
      <c r="E25" s="104">
        <v>1536</v>
      </c>
      <c r="F25" s="103"/>
      <c r="G25" s="104"/>
      <c r="H25" s="103"/>
      <c r="I25" s="104"/>
      <c r="J25" s="103"/>
      <c r="K25" s="104"/>
      <c r="L25" s="103">
        <v>65</v>
      </c>
      <c r="M25" s="104">
        <v>2466</v>
      </c>
      <c r="N25" s="103"/>
      <c r="O25" s="114"/>
      <c r="P25" s="103"/>
      <c r="Q25" s="105">
        <v>92</v>
      </c>
      <c r="R25" s="103"/>
      <c r="S25" s="105"/>
      <c r="T25" s="132"/>
      <c r="U25" s="104">
        <v>49</v>
      </c>
      <c r="V25" s="132">
        <v>17306</v>
      </c>
      <c r="W25" s="104"/>
      <c r="X25" s="132">
        <v>45324</v>
      </c>
      <c r="Y25" s="114">
        <v>58882</v>
      </c>
      <c r="Z25" s="1180"/>
      <c r="AA25" s="1181"/>
      <c r="AB25" s="103"/>
      <c r="AC25" s="104"/>
      <c r="AD25" s="132"/>
      <c r="AE25" s="104"/>
      <c r="AF25" s="103"/>
      <c r="AG25" s="104"/>
      <c r="AH25" s="103"/>
      <c r="AI25" s="104"/>
      <c r="AJ25" s="103"/>
      <c r="AK25" s="104">
        <v>71</v>
      </c>
      <c r="AL25" s="492"/>
      <c r="AM25" s="104"/>
      <c r="AN25" s="217">
        <v>1052</v>
      </c>
      <c r="AO25" s="214">
        <v>802</v>
      </c>
      <c r="AP25" s="493"/>
      <c r="AQ25" s="118">
        <v>74</v>
      </c>
      <c r="AR25" s="119"/>
      <c r="AS25" s="120"/>
      <c r="AT25" s="103"/>
      <c r="AU25" s="104">
        <v>87693</v>
      </c>
      <c r="AV25" s="122">
        <f t="shared" si="0"/>
        <v>64203</v>
      </c>
      <c r="AW25" s="133">
        <f t="shared" si="1"/>
        <v>151665</v>
      </c>
      <c r="AX25" s="119"/>
      <c r="AY25" s="120"/>
      <c r="AZ25" s="122">
        <f t="shared" si="2"/>
        <v>64203</v>
      </c>
      <c r="BA25" s="123">
        <f t="shared" si="3"/>
        <v>151665</v>
      </c>
    </row>
    <row r="26" spans="1:53" s="169" customFormat="1" ht="14.25">
      <c r="A26" s="186" t="s">
        <v>74</v>
      </c>
      <c r="B26" s="503"/>
      <c r="C26" s="504"/>
      <c r="D26" s="148"/>
      <c r="E26" s="145"/>
      <c r="F26" s="148"/>
      <c r="G26" s="145">
        <v>8</v>
      </c>
      <c r="H26" s="148"/>
      <c r="I26" s="145"/>
      <c r="J26" s="148"/>
      <c r="K26" s="145"/>
      <c r="L26" s="148"/>
      <c r="M26" s="145"/>
      <c r="N26" s="148">
        <v>235</v>
      </c>
      <c r="O26" s="149"/>
      <c r="P26" s="148"/>
      <c r="Q26" s="143"/>
      <c r="R26" s="148">
        <v>1733</v>
      </c>
      <c r="S26" s="143"/>
      <c r="T26" s="144"/>
      <c r="U26" s="145"/>
      <c r="V26" s="144"/>
      <c r="W26" s="145"/>
      <c r="X26" s="144"/>
      <c r="Y26" s="149"/>
      <c r="Z26" s="1183"/>
      <c r="AA26" s="1184"/>
      <c r="AB26" s="148"/>
      <c r="AC26" s="145"/>
      <c r="AD26" s="144">
        <v>73</v>
      </c>
      <c r="AE26" s="145">
        <v>59</v>
      </c>
      <c r="AF26" s="148"/>
      <c r="AG26" s="145"/>
      <c r="AH26" s="148"/>
      <c r="AI26" s="145"/>
      <c r="AJ26" s="148"/>
      <c r="AK26" s="145"/>
      <c r="AL26" s="505"/>
      <c r="AM26" s="145"/>
      <c r="AN26" s="506"/>
      <c r="AO26" s="507"/>
      <c r="AP26" s="509"/>
      <c r="AQ26" s="153"/>
      <c r="AR26" s="154"/>
      <c r="AS26" s="155"/>
      <c r="AT26" s="148"/>
      <c r="AU26" s="145"/>
      <c r="AV26" s="122">
        <f t="shared" si="0"/>
        <v>2041</v>
      </c>
      <c r="AW26" s="133">
        <f t="shared" si="1"/>
        <v>67</v>
      </c>
      <c r="AX26" s="154"/>
      <c r="AY26" s="155"/>
      <c r="AZ26" s="122">
        <f t="shared" si="2"/>
        <v>2041</v>
      </c>
      <c r="BA26" s="123">
        <f t="shared" si="3"/>
        <v>67</v>
      </c>
    </row>
    <row r="27" spans="1:53" s="169" customFormat="1" ht="14.25">
      <c r="A27" s="508" t="s">
        <v>16</v>
      </c>
      <c r="B27" s="503"/>
      <c r="C27" s="504"/>
      <c r="D27" s="148"/>
      <c r="E27" s="144"/>
      <c r="F27" s="148"/>
      <c r="G27" s="144"/>
      <c r="H27" s="148"/>
      <c r="I27" s="144"/>
      <c r="J27" s="148"/>
      <c r="K27" s="145"/>
      <c r="L27" s="148"/>
      <c r="M27" s="145"/>
      <c r="N27" s="148"/>
      <c r="O27" s="149"/>
      <c r="P27" s="148"/>
      <c r="Q27" s="143"/>
      <c r="R27" s="148">
        <v>110</v>
      </c>
      <c r="S27" s="143">
        <v>11915</v>
      </c>
      <c r="T27" s="144"/>
      <c r="U27" s="145"/>
      <c r="V27" s="144"/>
      <c r="W27" s="145"/>
      <c r="X27" s="144"/>
      <c r="Y27" s="149"/>
      <c r="Z27" s="1183"/>
      <c r="AA27" s="1184"/>
      <c r="AB27" s="148"/>
      <c r="AC27" s="145"/>
      <c r="AD27" s="144"/>
      <c r="AE27" s="145"/>
      <c r="AF27" s="148"/>
      <c r="AG27" s="145"/>
      <c r="AH27" s="148"/>
      <c r="AI27" s="145"/>
      <c r="AJ27" s="148"/>
      <c r="AK27" s="145"/>
      <c r="AL27" s="505"/>
      <c r="AM27" s="145"/>
      <c r="AN27" s="506"/>
      <c r="AO27" s="507"/>
      <c r="AP27" s="509"/>
      <c r="AQ27" s="153"/>
      <c r="AR27" s="154"/>
      <c r="AS27" s="155"/>
      <c r="AT27" s="148"/>
      <c r="AU27" s="145"/>
      <c r="AV27" s="156"/>
      <c r="AW27" s="157"/>
      <c r="AX27" s="154"/>
      <c r="AY27" s="155"/>
      <c r="AZ27" s="156"/>
      <c r="BA27" s="511"/>
    </row>
    <row r="28" spans="1:53" s="169" customFormat="1" ht="15" thickBot="1">
      <c r="A28" s="508" t="s">
        <v>75</v>
      </c>
      <c r="B28" s="503"/>
      <c r="C28" s="504"/>
      <c r="D28" s="148"/>
      <c r="E28" s="144"/>
      <c r="F28" s="148"/>
      <c r="G28" s="144"/>
      <c r="H28" s="148"/>
      <c r="I28" s="144"/>
      <c r="J28" s="148"/>
      <c r="K28" s="145"/>
      <c r="L28" s="148"/>
      <c r="M28" s="145"/>
      <c r="N28" s="148"/>
      <c r="O28" s="149">
        <v>250</v>
      </c>
      <c r="P28" s="148"/>
      <c r="Q28" s="143"/>
      <c r="R28" s="148"/>
      <c r="S28" s="143"/>
      <c r="T28" s="144"/>
      <c r="U28" s="145"/>
      <c r="V28" s="144"/>
      <c r="W28" s="145"/>
      <c r="X28" s="144"/>
      <c r="Y28" s="149"/>
      <c r="Z28" s="1183"/>
      <c r="AA28" s="1184"/>
      <c r="AB28" s="148"/>
      <c r="AC28" s="145"/>
      <c r="AD28" s="144"/>
      <c r="AE28" s="145"/>
      <c r="AF28" s="148"/>
      <c r="AG28" s="145"/>
      <c r="AH28" s="148"/>
      <c r="AI28" s="145"/>
      <c r="AJ28" s="148">
        <v>4</v>
      </c>
      <c r="AK28" s="145"/>
      <c r="AL28" s="505"/>
      <c r="AM28" s="145"/>
      <c r="AN28" s="506"/>
      <c r="AO28" s="507"/>
      <c r="AP28" s="509"/>
      <c r="AQ28" s="153"/>
      <c r="AR28" s="154"/>
      <c r="AS28" s="155"/>
      <c r="AT28" s="148"/>
      <c r="AU28" s="145"/>
      <c r="AV28" s="156">
        <f>SUM(B28+D28+F28+H28+J28+L28+N28+P28+R28+T28+V28+X28+Z28+AB28+AD28+AF28+AH28+AJ28+AL28+AN28+AP28+AR28+AT28)</f>
        <v>4</v>
      </c>
      <c r="AW28" s="157">
        <f>SUM(C28+E28+G28+I28+K28+M28+O28+Q28+S28+U28+W28+Y28+AA28+AC28+AE28+AG28+AI28+AK28+AM28+AO28+AQ28+AS28+AU28)</f>
        <v>250</v>
      </c>
      <c r="AX28" s="154"/>
      <c r="AY28" s="155"/>
      <c r="AZ28" s="156">
        <f>AV28+AX28</f>
        <v>4</v>
      </c>
      <c r="BA28" s="511">
        <f>AW28+AY28</f>
        <v>250</v>
      </c>
    </row>
    <row r="29" spans="1:53" s="510" customFormat="1" ht="15" thickBot="1">
      <c r="A29" s="522" t="s">
        <v>54</v>
      </c>
      <c r="B29" s="512">
        <f t="shared" ref="B29:H29" si="7">SUM(B18:B26)</f>
        <v>793235</v>
      </c>
      <c r="C29" s="512">
        <f t="shared" si="7"/>
        <v>779915</v>
      </c>
      <c r="D29" s="512">
        <f t="shared" si="7"/>
        <v>8551</v>
      </c>
      <c r="E29" s="512">
        <f t="shared" si="7"/>
        <v>12310</v>
      </c>
      <c r="F29" s="512">
        <f t="shared" si="7"/>
        <v>35960</v>
      </c>
      <c r="G29" s="512">
        <f t="shared" si="7"/>
        <v>40365</v>
      </c>
      <c r="H29" s="512">
        <f t="shared" si="7"/>
        <v>568578</v>
      </c>
      <c r="I29" s="512">
        <f>SUM(I18:I28)</f>
        <v>704805</v>
      </c>
      <c r="J29" s="512">
        <f t="shared" ref="J29:AO29" si="8">SUM(J18:J28)</f>
        <v>381907</v>
      </c>
      <c r="K29" s="512">
        <f t="shared" si="8"/>
        <v>307587</v>
      </c>
      <c r="L29" s="512">
        <f t="shared" si="8"/>
        <v>316372</v>
      </c>
      <c r="M29" s="512">
        <f t="shared" si="8"/>
        <v>294934</v>
      </c>
      <c r="N29" s="512">
        <f t="shared" si="8"/>
        <v>90936</v>
      </c>
      <c r="O29" s="513">
        <f t="shared" si="8"/>
        <v>55670</v>
      </c>
      <c r="P29" s="512">
        <f t="shared" si="8"/>
        <v>96973</v>
      </c>
      <c r="Q29" s="514">
        <f t="shared" si="8"/>
        <v>122046</v>
      </c>
      <c r="R29" s="512">
        <f t="shared" si="8"/>
        <v>317521</v>
      </c>
      <c r="S29" s="514">
        <f t="shared" si="8"/>
        <v>335483</v>
      </c>
      <c r="T29" s="515">
        <f t="shared" si="8"/>
        <v>71677</v>
      </c>
      <c r="U29" s="512">
        <f t="shared" si="8"/>
        <v>47051</v>
      </c>
      <c r="V29" s="512">
        <f t="shared" si="8"/>
        <v>3222273</v>
      </c>
      <c r="W29" s="512">
        <f t="shared" si="8"/>
        <v>2399332</v>
      </c>
      <c r="X29" s="512">
        <f t="shared" si="8"/>
        <v>2648383</v>
      </c>
      <c r="Y29" s="513">
        <f t="shared" si="8"/>
        <v>2001596</v>
      </c>
      <c r="Z29" s="512">
        <f t="shared" si="8"/>
        <v>137060</v>
      </c>
      <c r="AA29" s="514">
        <f t="shared" si="8"/>
        <v>60731</v>
      </c>
      <c r="AB29" s="512">
        <f t="shared" si="8"/>
        <v>223772</v>
      </c>
      <c r="AC29" s="512">
        <f t="shared" si="8"/>
        <v>157044</v>
      </c>
      <c r="AD29" s="515">
        <f t="shared" si="8"/>
        <v>641989</v>
      </c>
      <c r="AE29" s="512">
        <f t="shared" si="8"/>
        <v>562660</v>
      </c>
      <c r="AF29" s="512">
        <f t="shared" si="8"/>
        <v>1583950</v>
      </c>
      <c r="AG29" s="512">
        <f t="shared" si="8"/>
        <v>1559995</v>
      </c>
      <c r="AH29" s="512">
        <f t="shared" si="8"/>
        <v>487029</v>
      </c>
      <c r="AI29" s="512">
        <f t="shared" si="8"/>
        <v>377213</v>
      </c>
      <c r="AJ29" s="512">
        <f t="shared" si="8"/>
        <v>376511</v>
      </c>
      <c r="AK29" s="512">
        <f t="shared" si="8"/>
        <v>271279</v>
      </c>
      <c r="AL29" s="512">
        <f t="shared" si="8"/>
        <v>0</v>
      </c>
      <c r="AM29" s="512">
        <f t="shared" si="8"/>
        <v>0</v>
      </c>
      <c r="AN29" s="512">
        <f t="shared" si="8"/>
        <v>2493722</v>
      </c>
      <c r="AO29" s="512">
        <f t="shared" si="8"/>
        <v>2253442</v>
      </c>
      <c r="AP29" s="517">
        <f t="shared" ref="AP29:AU29" si="9">SUM(AP18:AP28)</f>
        <v>166127</v>
      </c>
      <c r="AQ29" s="516">
        <f t="shared" si="9"/>
        <v>125302</v>
      </c>
      <c r="AR29" s="517">
        <f t="shared" si="9"/>
        <v>272117</v>
      </c>
      <c r="AS29" s="516">
        <f t="shared" si="9"/>
        <v>259689</v>
      </c>
      <c r="AT29" s="517">
        <f t="shared" si="9"/>
        <v>1236347</v>
      </c>
      <c r="AU29" s="516">
        <f t="shared" si="9"/>
        <v>1624275</v>
      </c>
      <c r="AV29" s="517">
        <f>SUM(B29+D29+F29+H29+J29+L29+N29+P29+R29+T29+V29+X29+Z29+AB29+AD29+AF29+AH29+AJ29+AL29+AN29+AP29+AR29+AT29)</f>
        <v>16170990</v>
      </c>
      <c r="AW29" s="518">
        <f>SUM(C29+E29+G29+I29+K29+M29+O29+Q29+S29+U29+W29+Y29+AA29+AC29+AE29+AG29+AI29+AK29+AM29+AO29+AQ29+AS29+AU29)</f>
        <v>14352724</v>
      </c>
      <c r="AX29" s="519">
        <f>SUM(AX18:AX28)</f>
        <v>38635272</v>
      </c>
      <c r="AY29" s="520">
        <f>SUM(AY18:AY28)</f>
        <v>36698899</v>
      </c>
      <c r="AZ29" s="517">
        <f>AV29+AX29</f>
        <v>54806262</v>
      </c>
      <c r="BA29" s="521">
        <f>AW29+AY29</f>
        <v>51051623</v>
      </c>
    </row>
  </sheetData>
  <mergeCells count="29">
    <mergeCell ref="N3:O3"/>
    <mergeCell ref="A1:BA1"/>
    <mergeCell ref="A2:BA2"/>
    <mergeCell ref="A3:A4"/>
    <mergeCell ref="D3:E3"/>
    <mergeCell ref="F3:G3"/>
    <mergeCell ref="B3:C3"/>
    <mergeCell ref="H3:I3"/>
    <mergeCell ref="J3:K3"/>
    <mergeCell ref="L3:M3"/>
    <mergeCell ref="P3:Q3"/>
    <mergeCell ref="R3:S3"/>
    <mergeCell ref="T3:U3"/>
    <mergeCell ref="V3:W3"/>
    <mergeCell ref="X3:Y3"/>
    <mergeCell ref="Z3:AA3"/>
    <mergeCell ref="AB3:AC3"/>
    <mergeCell ref="AF3:AG3"/>
    <mergeCell ref="AD3:AE3"/>
    <mergeCell ref="AL3:AM3"/>
    <mergeCell ref="AJ3:AK3"/>
    <mergeCell ref="AH3:AI3"/>
    <mergeCell ref="AZ3:BA3"/>
    <mergeCell ref="AN3:AO3"/>
    <mergeCell ref="AP3:AQ3"/>
    <mergeCell ref="AR3:AS3"/>
    <mergeCell ref="AT3:AU3"/>
    <mergeCell ref="AV3:AW3"/>
    <mergeCell ref="AX3:AY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40"/>
  <sheetViews>
    <sheetView topLeftCell="A28" workbookViewId="0">
      <pane xSplit="1" topLeftCell="X1" activePane="topRight" state="frozen"/>
      <selection pane="topRight" activeCell="Y25" sqref="Y25"/>
    </sheetView>
    <sheetView topLeftCell="AO2" workbookViewId="1">
      <selection activeCell="AQ38" sqref="AQ38"/>
    </sheetView>
  </sheetViews>
  <sheetFormatPr defaultRowHeight="16.5"/>
  <cols>
    <col min="1" max="1" width="59.42578125" style="129" bestFit="1" customWidth="1"/>
    <col min="2" max="49" width="11.42578125" style="129" bestFit="1" customWidth="1"/>
    <col min="50" max="51" width="11.5703125" style="129" bestFit="1" customWidth="1"/>
    <col min="52" max="53" width="11.42578125" style="129" bestFit="1" customWidth="1"/>
    <col min="54" max="16384" width="9.140625" style="129"/>
  </cols>
  <sheetData>
    <row r="1" spans="1:53" ht="18">
      <c r="A1" s="1247" t="s">
        <v>161</v>
      </c>
      <c r="B1" s="1247"/>
      <c r="C1" s="1247"/>
      <c r="D1" s="1247"/>
      <c r="E1" s="1247"/>
      <c r="F1" s="1247"/>
      <c r="G1" s="1247"/>
      <c r="H1" s="1247"/>
      <c r="I1" s="1247"/>
      <c r="J1" s="1247"/>
      <c r="K1" s="1247"/>
      <c r="L1" s="1247"/>
      <c r="M1" s="1247"/>
      <c r="N1" s="1247"/>
      <c r="O1" s="1247"/>
      <c r="P1" s="1247"/>
      <c r="Q1" s="1247"/>
      <c r="R1" s="1247"/>
      <c r="S1" s="1247"/>
      <c r="T1" s="1247"/>
      <c r="U1" s="1247"/>
      <c r="V1" s="1247"/>
      <c r="W1" s="1247"/>
      <c r="X1" s="1247"/>
      <c r="Y1" s="1247"/>
      <c r="Z1" s="1247"/>
      <c r="AA1" s="1247"/>
      <c r="AB1" s="1247"/>
      <c r="AC1" s="1247"/>
      <c r="AD1" s="1247"/>
      <c r="AE1" s="1247"/>
      <c r="AF1" s="1247"/>
      <c r="AG1" s="1247"/>
      <c r="AH1" s="1247"/>
      <c r="AI1" s="1247"/>
      <c r="AJ1" s="1247"/>
      <c r="AK1" s="1247"/>
      <c r="AL1" s="1247"/>
      <c r="AM1" s="1247"/>
      <c r="AN1" s="1247"/>
      <c r="AO1" s="1247"/>
      <c r="AP1" s="1247"/>
      <c r="AQ1" s="1247"/>
      <c r="AR1" s="1247"/>
      <c r="AS1" s="1247"/>
      <c r="AT1" s="1247"/>
      <c r="AU1" s="1247"/>
      <c r="AV1" s="1247"/>
      <c r="AW1" s="1247"/>
      <c r="AX1" s="1247"/>
      <c r="AY1" s="1247"/>
      <c r="AZ1" s="1247"/>
      <c r="BA1" s="1247"/>
    </row>
    <row r="2" spans="1:53" s="523" customFormat="1" ht="18.75" thickBot="1">
      <c r="A2" s="1243" t="s">
        <v>76</v>
      </c>
      <c r="B2" s="1243"/>
      <c r="C2" s="1243"/>
      <c r="D2" s="1243"/>
      <c r="E2" s="1243"/>
      <c r="F2" s="1243"/>
      <c r="G2" s="1243"/>
      <c r="H2" s="1243"/>
      <c r="I2" s="1243"/>
      <c r="J2" s="1243"/>
      <c r="K2" s="1243"/>
      <c r="L2" s="1243"/>
      <c r="M2" s="1243"/>
      <c r="N2" s="1243"/>
      <c r="O2" s="1243"/>
      <c r="P2" s="1243"/>
      <c r="Q2" s="1243"/>
      <c r="R2" s="1243"/>
      <c r="S2" s="1243"/>
      <c r="T2" s="1243"/>
      <c r="U2" s="1243"/>
      <c r="V2" s="1243"/>
      <c r="W2" s="1243"/>
      <c r="X2" s="1243"/>
      <c r="Y2" s="1243"/>
      <c r="Z2" s="1243"/>
      <c r="AA2" s="1243"/>
      <c r="AB2" s="1243"/>
      <c r="AC2" s="1243"/>
      <c r="AD2" s="1243"/>
      <c r="AE2" s="1243"/>
      <c r="AF2" s="1243"/>
      <c r="AG2" s="1243"/>
      <c r="AH2" s="1243"/>
      <c r="AI2" s="1243"/>
      <c r="AJ2" s="1243"/>
      <c r="AK2" s="1243"/>
      <c r="AL2" s="1243"/>
      <c r="AM2" s="1243"/>
      <c r="AN2" s="1243"/>
      <c r="AO2" s="1243"/>
      <c r="AP2" s="1243"/>
      <c r="AQ2" s="1243"/>
      <c r="AR2" s="1243"/>
      <c r="AS2" s="1243"/>
      <c r="AT2" s="1243"/>
      <c r="AU2" s="1243"/>
      <c r="AV2" s="1243"/>
      <c r="AW2" s="1243"/>
      <c r="AX2" s="1243"/>
      <c r="AY2" s="1243"/>
      <c r="AZ2" s="1243"/>
      <c r="BA2" s="1243"/>
    </row>
    <row r="3" spans="1:53" s="814" customFormat="1" ht="48.75" customHeight="1" thickBot="1">
      <c r="A3" s="1248" t="s">
        <v>0</v>
      </c>
      <c r="B3" s="1201" t="s">
        <v>164</v>
      </c>
      <c r="C3" s="1246"/>
      <c r="D3" s="1201" t="s">
        <v>165</v>
      </c>
      <c r="E3" s="1202"/>
      <c r="F3" s="1246" t="s">
        <v>166</v>
      </c>
      <c r="G3" s="1202"/>
      <c r="H3" s="1246" t="s">
        <v>167</v>
      </c>
      <c r="I3" s="1202"/>
      <c r="J3" s="1201" t="s">
        <v>168</v>
      </c>
      <c r="K3" s="1246"/>
      <c r="L3" s="1201" t="s">
        <v>169</v>
      </c>
      <c r="M3" s="1202"/>
      <c r="N3" s="1201" t="s">
        <v>371</v>
      </c>
      <c r="O3" s="1246"/>
      <c r="P3" s="1201" t="s">
        <v>171</v>
      </c>
      <c r="Q3" s="1202"/>
      <c r="R3" s="1246" t="s">
        <v>172</v>
      </c>
      <c r="S3" s="1246"/>
      <c r="T3" s="1201" t="s">
        <v>173</v>
      </c>
      <c r="U3" s="1202"/>
      <c r="V3" s="1246" t="s">
        <v>174</v>
      </c>
      <c r="W3" s="1202"/>
      <c r="X3" s="1201" t="s">
        <v>175</v>
      </c>
      <c r="Y3" s="1246"/>
      <c r="Z3" s="1201" t="s">
        <v>176</v>
      </c>
      <c r="AA3" s="1202"/>
      <c r="AB3" s="1246" t="s">
        <v>177</v>
      </c>
      <c r="AC3" s="1202"/>
      <c r="AD3" s="1246" t="s">
        <v>178</v>
      </c>
      <c r="AE3" s="1202"/>
      <c r="AF3" s="1246" t="s">
        <v>179</v>
      </c>
      <c r="AG3" s="1202"/>
      <c r="AH3" s="1246" t="s">
        <v>180</v>
      </c>
      <c r="AI3" s="1202"/>
      <c r="AJ3" s="1201" t="s">
        <v>181</v>
      </c>
      <c r="AK3" s="1246"/>
      <c r="AL3" s="1201" t="s">
        <v>182</v>
      </c>
      <c r="AM3" s="1202"/>
      <c r="AN3" s="1246" t="s">
        <v>183</v>
      </c>
      <c r="AO3" s="1202"/>
      <c r="AP3" s="1246" t="s">
        <v>184</v>
      </c>
      <c r="AQ3" s="1202"/>
      <c r="AR3" s="1246" t="s">
        <v>185</v>
      </c>
      <c r="AS3" s="1202"/>
      <c r="AT3" s="1201" t="s">
        <v>186</v>
      </c>
      <c r="AU3" s="1246"/>
      <c r="AV3" s="1201" t="s">
        <v>1</v>
      </c>
      <c r="AW3" s="1202"/>
      <c r="AX3" s="1246" t="s">
        <v>187</v>
      </c>
      <c r="AY3" s="1202"/>
      <c r="AZ3" s="1246" t="s">
        <v>2</v>
      </c>
      <c r="BA3" s="1202"/>
    </row>
    <row r="4" spans="1:53" s="524" customFormat="1" ht="15" customHeight="1" thickBot="1">
      <c r="A4" s="1249"/>
      <c r="B4" s="581" t="s">
        <v>295</v>
      </c>
      <c r="C4" s="547" t="s">
        <v>363</v>
      </c>
      <c r="D4" s="581" t="s">
        <v>295</v>
      </c>
      <c r="E4" s="537" t="s">
        <v>363</v>
      </c>
      <c r="F4" s="547" t="s">
        <v>295</v>
      </c>
      <c r="G4" s="537" t="s">
        <v>363</v>
      </c>
      <c r="H4" s="547" t="s">
        <v>295</v>
      </c>
      <c r="I4" s="537" t="s">
        <v>363</v>
      </c>
      <c r="J4" s="547" t="s">
        <v>295</v>
      </c>
      <c r="K4" s="547" t="s">
        <v>363</v>
      </c>
      <c r="L4" s="581" t="s">
        <v>295</v>
      </c>
      <c r="M4" s="547" t="s">
        <v>363</v>
      </c>
      <c r="N4" s="581" t="s">
        <v>295</v>
      </c>
      <c r="O4" s="537" t="s">
        <v>363</v>
      </c>
      <c r="P4" s="547" t="s">
        <v>295</v>
      </c>
      <c r="Q4" s="537" t="s">
        <v>363</v>
      </c>
      <c r="R4" s="547" t="s">
        <v>295</v>
      </c>
      <c r="S4" s="547" t="s">
        <v>363</v>
      </c>
      <c r="T4" s="581" t="s">
        <v>295</v>
      </c>
      <c r="U4" s="537" t="s">
        <v>363</v>
      </c>
      <c r="V4" s="581" t="s">
        <v>295</v>
      </c>
      <c r="W4" s="547" t="s">
        <v>363</v>
      </c>
      <c r="X4" s="581" t="s">
        <v>295</v>
      </c>
      <c r="Y4" s="537" t="s">
        <v>363</v>
      </c>
      <c r="Z4" s="547" t="s">
        <v>295</v>
      </c>
      <c r="AA4" s="537" t="s">
        <v>363</v>
      </c>
      <c r="AB4" s="547" t="s">
        <v>295</v>
      </c>
      <c r="AC4" s="537" t="s">
        <v>363</v>
      </c>
      <c r="AD4" s="547" t="s">
        <v>295</v>
      </c>
      <c r="AE4" s="547" t="s">
        <v>363</v>
      </c>
      <c r="AF4" s="581" t="s">
        <v>295</v>
      </c>
      <c r="AG4" s="547" t="s">
        <v>363</v>
      </c>
      <c r="AH4" s="581" t="s">
        <v>295</v>
      </c>
      <c r="AI4" s="537" t="s">
        <v>363</v>
      </c>
      <c r="AJ4" s="547" t="s">
        <v>295</v>
      </c>
      <c r="AK4" s="537" t="s">
        <v>363</v>
      </c>
      <c r="AL4" s="547" t="s">
        <v>295</v>
      </c>
      <c r="AM4" s="537" t="s">
        <v>363</v>
      </c>
      <c r="AN4" s="547" t="s">
        <v>295</v>
      </c>
      <c r="AO4" s="547" t="s">
        <v>363</v>
      </c>
      <c r="AP4" s="581" t="s">
        <v>295</v>
      </c>
      <c r="AQ4" s="547" t="s">
        <v>363</v>
      </c>
      <c r="AR4" s="581" t="s">
        <v>295</v>
      </c>
      <c r="AS4" s="537" t="s">
        <v>363</v>
      </c>
      <c r="AT4" s="547" t="s">
        <v>295</v>
      </c>
      <c r="AU4" s="537" t="s">
        <v>363</v>
      </c>
      <c r="AV4" s="547" t="s">
        <v>295</v>
      </c>
      <c r="AW4" s="537" t="s">
        <v>363</v>
      </c>
      <c r="AX4" s="547" t="s">
        <v>295</v>
      </c>
      <c r="AY4" s="547" t="s">
        <v>363</v>
      </c>
      <c r="AZ4" s="547" t="s">
        <v>295</v>
      </c>
      <c r="BA4" s="537" t="s">
        <v>363</v>
      </c>
    </row>
    <row r="5" spans="1:53" ht="15" customHeight="1">
      <c r="A5" s="674" t="s">
        <v>77</v>
      </c>
      <c r="B5" s="664">
        <v>1652504</v>
      </c>
      <c r="C5" s="1018">
        <v>1627002</v>
      </c>
      <c r="D5" s="664">
        <v>253519</v>
      </c>
      <c r="E5" s="665">
        <v>230683</v>
      </c>
      <c r="F5" s="190">
        <v>414760</v>
      </c>
      <c r="G5" s="665">
        <v>411506</v>
      </c>
      <c r="H5" s="666">
        <v>2741641</v>
      </c>
      <c r="I5" s="665">
        <v>2287818</v>
      </c>
      <c r="J5" s="666">
        <v>694894</v>
      </c>
      <c r="K5" s="1018">
        <v>678535</v>
      </c>
      <c r="L5" s="664">
        <v>637456</v>
      </c>
      <c r="M5" s="665">
        <v>758717</v>
      </c>
      <c r="N5" s="666">
        <v>517404</v>
      </c>
      <c r="O5" s="1018">
        <v>433047</v>
      </c>
      <c r="P5" s="664">
        <v>729486</v>
      </c>
      <c r="Q5" s="665">
        <v>788044</v>
      </c>
      <c r="R5" s="666">
        <v>787099</v>
      </c>
      <c r="S5" s="1018">
        <v>715084</v>
      </c>
      <c r="T5" s="664">
        <v>853274</v>
      </c>
      <c r="U5" s="665">
        <v>940046</v>
      </c>
      <c r="V5" s="666">
        <v>3939802</v>
      </c>
      <c r="W5" s="665">
        <v>3119658</v>
      </c>
      <c r="X5" s="666">
        <v>2594040</v>
      </c>
      <c r="Y5" s="1018">
        <v>2116639</v>
      </c>
      <c r="Z5" s="664">
        <v>293092</v>
      </c>
      <c r="AA5" s="665">
        <v>238390</v>
      </c>
      <c r="AB5" s="666">
        <v>468296</v>
      </c>
      <c r="AC5" s="665">
        <v>624040</v>
      </c>
      <c r="AD5" s="666">
        <v>1888184</v>
      </c>
      <c r="AE5" s="665">
        <v>2079178</v>
      </c>
      <c r="AF5" s="666">
        <v>2355259</v>
      </c>
      <c r="AG5" s="665">
        <v>2775507</v>
      </c>
      <c r="AH5" s="666">
        <v>1428321</v>
      </c>
      <c r="AI5" s="665">
        <v>1380984</v>
      </c>
      <c r="AJ5" s="666">
        <v>1795842</v>
      </c>
      <c r="AK5" s="1018">
        <v>1694353</v>
      </c>
      <c r="AL5" s="664"/>
      <c r="AM5" s="665"/>
      <c r="AN5" s="668">
        <v>2946039</v>
      </c>
      <c r="AO5" s="669">
        <v>3536929</v>
      </c>
      <c r="AP5" s="666">
        <v>664287</v>
      </c>
      <c r="AQ5" s="665">
        <v>676382</v>
      </c>
      <c r="AR5" s="666">
        <v>558842</v>
      </c>
      <c r="AS5" s="665">
        <v>588795</v>
      </c>
      <c r="AT5" s="666">
        <v>1321866</v>
      </c>
      <c r="AU5" s="1018">
        <v>1670839</v>
      </c>
      <c r="AV5" s="664">
        <f t="shared" ref="AV5:AV39" si="0">SUM(B5+D5+F5+H5+J5+L5+N5+P5+R5+T5+V5+X5+Z5+AB5+AD5+AF5+AH5+AJ5+AL5+AN5+AP5+AR5+AT5)</f>
        <v>29535907</v>
      </c>
      <c r="AW5" s="667">
        <f t="shared" ref="AW5:AW39" si="1">SUM(C5+E5+G5+I5+K5+M5+O5+Q5+S5+U5+W5+Y5+AA5+AC5+AE5+AG5+AI5+AK5+AM5+AO5+AQ5+AS5+AU5)</f>
        <v>29372176</v>
      </c>
      <c r="AX5" s="666">
        <v>50181493</v>
      </c>
      <c r="AY5" s="665">
        <v>61570739</v>
      </c>
      <c r="AZ5" s="666">
        <f t="shared" ref="AZ5:AZ39" si="2">AV5+AX5</f>
        <v>79717400</v>
      </c>
      <c r="BA5" s="667">
        <f t="shared" ref="BA5:BA39" si="3">AW5+AY5</f>
        <v>90942915</v>
      </c>
    </row>
    <row r="6" spans="1:53">
      <c r="A6" s="188" t="s">
        <v>78</v>
      </c>
      <c r="B6" s="189">
        <v>62450</v>
      </c>
      <c r="C6" s="1019">
        <v>8688</v>
      </c>
      <c r="D6" s="195">
        <v>13034</v>
      </c>
      <c r="E6" s="191">
        <v>575</v>
      </c>
      <c r="F6" s="190">
        <v>6871</v>
      </c>
      <c r="G6" s="191">
        <v>-1984</v>
      </c>
      <c r="H6" s="190">
        <v>73805</v>
      </c>
      <c r="I6" s="191">
        <v>757</v>
      </c>
      <c r="J6" s="190">
        <v>22623</v>
      </c>
      <c r="K6" s="335">
        <v>1981</v>
      </c>
      <c r="L6" s="195">
        <v>37143</v>
      </c>
      <c r="M6" s="191">
        <v>18571</v>
      </c>
      <c r="N6" s="190">
        <v>11796</v>
      </c>
      <c r="O6" s="335">
        <v>900</v>
      </c>
      <c r="P6" s="195">
        <v>35545</v>
      </c>
      <c r="Q6" s="191">
        <v>13015</v>
      </c>
      <c r="R6" s="190">
        <v>39358</v>
      </c>
      <c r="S6" s="335">
        <v>5368</v>
      </c>
      <c r="T6" s="195">
        <v>18672</v>
      </c>
      <c r="U6" s="191">
        <v>2067</v>
      </c>
      <c r="V6" s="190">
        <v>70750</v>
      </c>
      <c r="W6" s="191">
        <v>3097</v>
      </c>
      <c r="X6" s="190">
        <v>160650</v>
      </c>
      <c r="Y6" s="335">
        <v>4470</v>
      </c>
      <c r="Z6" s="336">
        <v>12885</v>
      </c>
      <c r="AA6" s="592">
        <v>2389</v>
      </c>
      <c r="AB6" s="190">
        <v>29988</v>
      </c>
      <c r="AC6" s="191">
        <v>8997</v>
      </c>
      <c r="AD6" s="190">
        <v>50152</v>
      </c>
      <c r="AE6" s="191">
        <v>18650</v>
      </c>
      <c r="AF6" s="190">
        <v>122433</v>
      </c>
      <c r="AG6" s="191">
        <v>42291</v>
      </c>
      <c r="AH6" s="190">
        <v>25897</v>
      </c>
      <c r="AI6" s="191">
        <v>3534</v>
      </c>
      <c r="AJ6" s="190">
        <v>54911</v>
      </c>
      <c r="AK6" s="335">
        <v>-427</v>
      </c>
      <c r="AL6" s="645"/>
      <c r="AM6" s="191"/>
      <c r="AN6" s="670">
        <v>167002</v>
      </c>
      <c r="AO6" s="1034">
        <v>51693</v>
      </c>
      <c r="AP6" s="337">
        <v>55364</v>
      </c>
      <c r="AQ6" s="193">
        <v>26636</v>
      </c>
      <c r="AR6" s="593">
        <v>16902</v>
      </c>
      <c r="AS6" s="193">
        <v>480</v>
      </c>
      <c r="AT6" s="190">
        <v>123110</v>
      </c>
      <c r="AU6" s="335">
        <v>14129</v>
      </c>
      <c r="AV6" s="196">
        <f t="shared" si="0"/>
        <v>1211341</v>
      </c>
      <c r="AW6" s="939">
        <f t="shared" si="1"/>
        <v>225877</v>
      </c>
      <c r="AX6" s="593">
        <v>747676</v>
      </c>
      <c r="AY6" s="194">
        <v>240904</v>
      </c>
      <c r="AZ6" s="851">
        <f t="shared" si="2"/>
        <v>1959017</v>
      </c>
      <c r="BA6" s="939">
        <f t="shared" si="3"/>
        <v>466781</v>
      </c>
    </row>
    <row r="7" spans="1:53">
      <c r="A7" s="188" t="s">
        <v>79</v>
      </c>
      <c r="B7" s="189">
        <v>27250</v>
      </c>
      <c r="C7" s="1019">
        <v>3934</v>
      </c>
      <c r="D7" s="195">
        <v>828</v>
      </c>
      <c r="E7" s="191">
        <v>143</v>
      </c>
      <c r="F7" s="190">
        <v>2387</v>
      </c>
      <c r="G7" s="191">
        <v>-29</v>
      </c>
      <c r="H7" s="190">
        <v>62971</v>
      </c>
      <c r="I7" s="191">
        <v>6421</v>
      </c>
      <c r="J7" s="190">
        <v>937</v>
      </c>
      <c r="K7" s="335">
        <v>752</v>
      </c>
      <c r="L7" s="195">
        <v>75054</v>
      </c>
      <c r="M7" s="191">
        <v>36399</v>
      </c>
      <c r="N7" s="190">
        <v>2351</v>
      </c>
      <c r="O7" s="335">
        <v>2543</v>
      </c>
      <c r="P7" s="195">
        <v>19567</v>
      </c>
      <c r="Q7" s="191">
        <v>5409</v>
      </c>
      <c r="R7" s="190">
        <v>114314</v>
      </c>
      <c r="T7" s="195">
        <v>17759</v>
      </c>
      <c r="U7" s="191">
        <v>30993</v>
      </c>
      <c r="V7" s="190">
        <v>207252</v>
      </c>
      <c r="W7" s="191">
        <v>190164</v>
      </c>
      <c r="X7" s="190">
        <v>126430</v>
      </c>
      <c r="Y7" s="335">
        <v>2417</v>
      </c>
      <c r="Z7" s="336">
        <v>967</v>
      </c>
      <c r="AA7" s="592">
        <v>283</v>
      </c>
      <c r="AB7" s="190">
        <v>35480</v>
      </c>
      <c r="AC7" s="191">
        <v>16835</v>
      </c>
      <c r="AD7" s="190"/>
      <c r="AE7" s="191"/>
      <c r="AF7" s="190">
        <v>253914</v>
      </c>
      <c r="AG7" s="191">
        <v>152378</v>
      </c>
      <c r="AH7" s="190">
        <v>8915</v>
      </c>
      <c r="AI7" s="191">
        <v>4560</v>
      </c>
      <c r="AJ7" s="190">
        <v>41239</v>
      </c>
      <c r="AK7" s="335">
        <v>19207</v>
      </c>
      <c r="AL7" s="645"/>
      <c r="AM7" s="191"/>
      <c r="AN7" s="670">
        <v>54354</v>
      </c>
      <c r="AO7" s="1034">
        <v>60086</v>
      </c>
      <c r="AP7" s="337">
        <v>19914</v>
      </c>
      <c r="AQ7" s="193">
        <v>6207</v>
      </c>
      <c r="AR7" s="593">
        <v>64933</v>
      </c>
      <c r="AS7" s="193">
        <v>58</v>
      </c>
      <c r="AT7" s="190">
        <v>134357</v>
      </c>
      <c r="AU7" s="335">
        <v>5915</v>
      </c>
      <c r="AV7" s="196">
        <f t="shared" si="0"/>
        <v>1271173</v>
      </c>
      <c r="AW7" s="939">
        <f>SUM(C7+E7+G7+I7+K7+M7+O7+Q7+S8+U7+W7+Y7+AA7+AC7+AE7+AG7+AI7+AK7+AM7+AO7+AQ7+AS7+AU7)</f>
        <v>655213</v>
      </c>
      <c r="AX7" s="593">
        <v>21687</v>
      </c>
      <c r="AY7" s="194">
        <v>10404</v>
      </c>
      <c r="AZ7" s="851">
        <f t="shared" si="2"/>
        <v>1292860</v>
      </c>
      <c r="BA7" s="939">
        <f t="shared" si="3"/>
        <v>665617</v>
      </c>
    </row>
    <row r="8" spans="1:53">
      <c r="A8" s="188" t="s">
        <v>80</v>
      </c>
      <c r="B8" s="189">
        <v>137132</v>
      </c>
      <c r="C8" s="1019">
        <v>120305</v>
      </c>
      <c r="D8" s="195">
        <v>23866</v>
      </c>
      <c r="E8" s="191">
        <v>19335</v>
      </c>
      <c r="F8" s="190">
        <v>81601</v>
      </c>
      <c r="G8" s="191">
        <v>78202</v>
      </c>
      <c r="H8" s="190">
        <f>45888+74972+21945</f>
        <v>142805</v>
      </c>
      <c r="I8" s="191">
        <f>12662+65390</f>
        <v>78052</v>
      </c>
      <c r="J8" s="190">
        <v>46159</v>
      </c>
      <c r="K8" s="335">
        <v>75580</v>
      </c>
      <c r="L8" s="195">
        <v>48214</v>
      </c>
      <c r="M8" s="191">
        <v>72439</v>
      </c>
      <c r="N8" s="190">
        <v>46711</v>
      </c>
      <c r="O8" s="335">
        <v>48150</v>
      </c>
      <c r="P8" s="195">
        <v>49934</v>
      </c>
      <c r="Q8" s="191">
        <v>63139</v>
      </c>
      <c r="R8" s="190">
        <v>96230</v>
      </c>
      <c r="S8" s="335">
        <v>110538</v>
      </c>
      <c r="T8" s="195">
        <v>68599</v>
      </c>
      <c r="U8" s="191">
        <v>70152</v>
      </c>
      <c r="V8" s="190">
        <v>206840</v>
      </c>
      <c r="W8" s="191">
        <v>255970</v>
      </c>
      <c r="X8" s="190">
        <v>365017</v>
      </c>
      <c r="Y8" s="335">
        <v>437573</v>
      </c>
      <c r="Z8" s="336">
        <v>19375</v>
      </c>
      <c r="AA8" s="592">
        <v>19170</v>
      </c>
      <c r="AB8" s="190">
        <v>26238</v>
      </c>
      <c r="AC8" s="191">
        <v>42195</v>
      </c>
      <c r="AD8" s="190">
        <v>131732</v>
      </c>
      <c r="AE8" s="191">
        <v>133203</v>
      </c>
      <c r="AF8" s="190">
        <v>204992</v>
      </c>
      <c r="AG8" s="191">
        <v>212657</v>
      </c>
      <c r="AH8" s="190">
        <v>141602</v>
      </c>
      <c r="AI8" s="191">
        <v>137101</v>
      </c>
      <c r="AJ8" s="190">
        <f>116870+67687</f>
        <v>184557</v>
      </c>
      <c r="AK8" s="335">
        <f>104979+55765</f>
        <v>160744</v>
      </c>
      <c r="AL8" s="645"/>
      <c r="AM8" s="191"/>
      <c r="AN8" s="670">
        <v>181356</v>
      </c>
      <c r="AO8" s="1034">
        <v>204669</v>
      </c>
      <c r="AP8" s="337">
        <v>50216</v>
      </c>
      <c r="AQ8" s="193">
        <v>42415</v>
      </c>
      <c r="AR8" s="593">
        <v>37226</v>
      </c>
      <c r="AS8" s="193">
        <v>34453</v>
      </c>
      <c r="AT8" s="190">
        <v>77713</v>
      </c>
      <c r="AU8" s="335">
        <v>74738</v>
      </c>
      <c r="AV8" s="196">
        <f t="shared" si="0"/>
        <v>2368115</v>
      </c>
      <c r="AW8" s="939">
        <f>SUM(C8+E8+G8+I8+K8+M8+O8+Q8+S9+U8+W8+Y8+AA8+AC8+AE8+AG8+AI8+AK8+AM8+AO8+AQ8+AS8+AU8)</f>
        <v>2473675</v>
      </c>
      <c r="AX8" s="593">
        <v>1223478</v>
      </c>
      <c r="AY8" s="194">
        <v>1281501</v>
      </c>
      <c r="AZ8" s="851">
        <f t="shared" si="2"/>
        <v>3591593</v>
      </c>
      <c r="BA8" s="939">
        <f t="shared" si="3"/>
        <v>3755176</v>
      </c>
    </row>
    <row r="9" spans="1:53">
      <c r="A9" s="188" t="s">
        <v>81</v>
      </c>
      <c r="B9" s="189">
        <v>68121</v>
      </c>
      <c r="C9" s="1019">
        <v>58237</v>
      </c>
      <c r="D9" s="195">
        <v>1059</v>
      </c>
      <c r="E9" s="191">
        <v>315</v>
      </c>
      <c r="F9" s="190">
        <v>31291</v>
      </c>
      <c r="G9" s="191">
        <v>28997</v>
      </c>
      <c r="H9" s="190">
        <v>18193</v>
      </c>
      <c r="I9" s="191">
        <v>20404</v>
      </c>
      <c r="J9" s="190">
        <v>8934</v>
      </c>
      <c r="K9" s="335">
        <v>5542</v>
      </c>
      <c r="L9" s="195">
        <v>7680</v>
      </c>
      <c r="M9" s="191">
        <v>3700</v>
      </c>
      <c r="N9" s="190">
        <v>22730</v>
      </c>
      <c r="O9" s="335">
        <v>18013</v>
      </c>
      <c r="P9" s="195">
        <v>35431</v>
      </c>
      <c r="Q9" s="191">
        <v>23154</v>
      </c>
      <c r="R9" s="190">
        <v>9086</v>
      </c>
      <c r="S9" s="335">
        <v>93433</v>
      </c>
      <c r="T9" s="195">
        <v>30549</v>
      </c>
      <c r="U9" s="191">
        <v>27699</v>
      </c>
      <c r="V9" s="190">
        <v>13035</v>
      </c>
      <c r="W9" s="191">
        <v>2794</v>
      </c>
      <c r="X9" s="190">
        <v>74720</v>
      </c>
      <c r="Y9" s="335">
        <v>76455</v>
      </c>
      <c r="Z9" s="336">
        <f>8006+285</f>
        <v>8291</v>
      </c>
      <c r="AA9" s="592">
        <f>7962+115</f>
        <v>8077</v>
      </c>
      <c r="AB9" s="190">
        <v>6579</v>
      </c>
      <c r="AC9" s="191">
        <v>8101</v>
      </c>
      <c r="AD9" s="190">
        <v>54638</v>
      </c>
      <c r="AE9" s="191">
        <v>57770</v>
      </c>
      <c r="AF9" s="190">
        <v>100873</v>
      </c>
      <c r="AG9" s="191">
        <v>80234</v>
      </c>
      <c r="AH9" s="190">
        <v>5774</v>
      </c>
      <c r="AI9" s="191">
        <v>8248</v>
      </c>
      <c r="AJ9" s="190">
        <v>2405</v>
      </c>
      <c r="AK9" s="335">
        <v>4620</v>
      </c>
      <c r="AL9" s="645"/>
      <c r="AM9" s="191"/>
      <c r="AN9" s="670">
        <v>117466</v>
      </c>
      <c r="AO9" s="1034">
        <v>172547</v>
      </c>
      <c r="AP9" s="337">
        <v>367</v>
      </c>
      <c r="AQ9" s="193">
        <v>132</v>
      </c>
      <c r="AR9" s="593">
        <v>34103</v>
      </c>
      <c r="AS9" s="193">
        <v>29370</v>
      </c>
      <c r="AT9" s="190">
        <v>54404</v>
      </c>
      <c r="AU9" s="335">
        <v>50870</v>
      </c>
      <c r="AV9" s="196">
        <f t="shared" si="0"/>
        <v>705729</v>
      </c>
      <c r="AW9" s="939">
        <f>SUM(C9+E9+G9+I9+K9+M9+O9+Q9+S10+U9+W9+Y9+AA9+AC9+AE9+AG9+AI9+AK9+AM9+AO9+AQ9+AS9+AU9)</f>
        <v>689471</v>
      </c>
      <c r="AX9" s="593">
        <v>124044</v>
      </c>
      <c r="AY9" s="194">
        <v>332630</v>
      </c>
      <c r="AZ9" s="851">
        <f t="shared" si="2"/>
        <v>829773</v>
      </c>
      <c r="BA9" s="939">
        <f t="shared" si="3"/>
        <v>1022101</v>
      </c>
    </row>
    <row r="10" spans="1:53">
      <c r="A10" s="188" t="s">
        <v>82</v>
      </c>
      <c r="B10" s="189">
        <v>8631</v>
      </c>
      <c r="C10" s="1019">
        <v>4349</v>
      </c>
      <c r="D10" s="195">
        <v>2348</v>
      </c>
      <c r="E10" s="191">
        <v>1031</v>
      </c>
      <c r="F10" s="190">
        <v>8816</v>
      </c>
      <c r="G10" s="191">
        <v>2466</v>
      </c>
      <c r="H10" s="190">
        <v>175224</v>
      </c>
      <c r="I10" s="191">
        <v>4626</v>
      </c>
      <c r="J10" s="190">
        <v>11904</v>
      </c>
      <c r="K10" s="335">
        <v>3718</v>
      </c>
      <c r="L10" s="195">
        <v>4893</v>
      </c>
      <c r="M10" s="191">
        <v>4325</v>
      </c>
      <c r="N10" s="190">
        <v>970</v>
      </c>
      <c r="O10" s="335">
        <v>217</v>
      </c>
      <c r="P10" s="195">
        <v>4992</v>
      </c>
      <c r="Q10" s="191">
        <v>3758</v>
      </c>
      <c r="R10" s="190">
        <v>8678</v>
      </c>
      <c r="S10" s="335">
        <v>4192</v>
      </c>
      <c r="T10" s="195">
        <v>5286</v>
      </c>
      <c r="U10" s="191">
        <v>1412</v>
      </c>
      <c r="V10" s="190">
        <v>28405</v>
      </c>
      <c r="W10" s="191">
        <v>11633</v>
      </c>
      <c r="X10" s="190">
        <v>24718</v>
      </c>
      <c r="Y10" s="335">
        <v>3116</v>
      </c>
      <c r="Z10" s="195">
        <v>4520</v>
      </c>
      <c r="AA10" s="592">
        <v>3483</v>
      </c>
      <c r="AB10" s="190">
        <v>4141</v>
      </c>
      <c r="AC10" s="191">
        <v>1981</v>
      </c>
      <c r="AD10" s="190">
        <v>25498</v>
      </c>
      <c r="AE10" s="191">
        <v>17566</v>
      </c>
      <c r="AF10" s="190">
        <v>24092</v>
      </c>
      <c r="AG10" s="191">
        <v>14626</v>
      </c>
      <c r="AH10" s="190">
        <v>12371</v>
      </c>
      <c r="AI10" s="191">
        <v>6228</v>
      </c>
      <c r="AJ10" s="190">
        <v>18468</v>
      </c>
      <c r="AK10" s="335">
        <v>-536</v>
      </c>
      <c r="AL10" s="645"/>
      <c r="AM10" s="191"/>
      <c r="AN10" s="670">
        <v>27079</v>
      </c>
      <c r="AO10" s="1034">
        <v>6555</v>
      </c>
      <c r="AP10" s="337">
        <v>10783</v>
      </c>
      <c r="AQ10" s="193">
        <v>5670</v>
      </c>
      <c r="AR10" s="593">
        <v>3575</v>
      </c>
      <c r="AS10" s="193">
        <v>1350</v>
      </c>
      <c r="AT10" s="190">
        <v>11070</v>
      </c>
      <c r="AU10" s="335">
        <v>8172</v>
      </c>
      <c r="AV10" s="189">
        <f t="shared" si="0"/>
        <v>426462</v>
      </c>
      <c r="AW10" s="650">
        <f>SUM(C10+E10+G10+I10+K10+M10+O10+Q10+S11+U10+W10+Y10+AA10+AC10+AE10+AG10+AI10+AK10+AM10+AO10+AQ10+AS10+AU10)</f>
        <v>113766</v>
      </c>
      <c r="AX10" s="190">
        <v>937878</v>
      </c>
      <c r="AY10" s="191">
        <v>849803</v>
      </c>
      <c r="AZ10" s="852">
        <f t="shared" si="2"/>
        <v>1364340</v>
      </c>
      <c r="BA10" s="650">
        <f t="shared" si="3"/>
        <v>963569</v>
      </c>
    </row>
    <row r="11" spans="1:53">
      <c r="A11" s="188" t="s">
        <v>83</v>
      </c>
      <c r="B11" s="189">
        <v>21853</v>
      </c>
      <c r="C11" s="1019">
        <v>19101</v>
      </c>
      <c r="D11" s="195">
        <v>5131</v>
      </c>
      <c r="E11" s="191">
        <v>2747</v>
      </c>
      <c r="F11" s="190">
        <v>13249</v>
      </c>
      <c r="G11" s="191">
        <v>10006</v>
      </c>
      <c r="H11" s="190">
        <v>189769</v>
      </c>
      <c r="I11" s="191">
        <v>118531</v>
      </c>
      <c r="J11" s="190">
        <v>4953</v>
      </c>
      <c r="K11" s="335">
        <v>4776</v>
      </c>
      <c r="L11" s="195">
        <v>43165</v>
      </c>
      <c r="M11" s="191">
        <v>72476</v>
      </c>
      <c r="N11" s="190">
        <v>10047</v>
      </c>
      <c r="O11" s="335">
        <v>8385</v>
      </c>
      <c r="P11" s="195">
        <v>17167</v>
      </c>
      <c r="Q11" s="191">
        <v>11675</v>
      </c>
      <c r="R11" s="190">
        <v>7549</v>
      </c>
      <c r="S11" s="335">
        <v>8020</v>
      </c>
      <c r="T11" s="195">
        <v>18211</v>
      </c>
      <c r="U11" s="191">
        <v>9505</v>
      </c>
      <c r="V11" s="190">
        <v>56425</v>
      </c>
      <c r="W11" s="191">
        <v>31698</v>
      </c>
      <c r="X11" s="190">
        <v>314488</v>
      </c>
      <c r="Y11" s="335">
        <v>263718</v>
      </c>
      <c r="Z11" s="195">
        <v>7660</v>
      </c>
      <c r="AA11" s="191">
        <v>8270</v>
      </c>
      <c r="AB11" s="190">
        <v>16836</v>
      </c>
      <c r="AC11" s="191">
        <v>20773</v>
      </c>
      <c r="AD11" s="373">
        <v>31892</v>
      </c>
      <c r="AE11" s="672">
        <v>29707</v>
      </c>
      <c r="AF11" s="190">
        <v>100781</v>
      </c>
      <c r="AG11" s="191">
        <v>157611</v>
      </c>
      <c r="AH11" s="190">
        <v>34892</v>
      </c>
      <c r="AI11" s="191">
        <v>40985</v>
      </c>
      <c r="AJ11" s="190">
        <v>34685</v>
      </c>
      <c r="AK11" s="335">
        <v>28109</v>
      </c>
      <c r="AL11" s="645"/>
      <c r="AM11" s="191"/>
      <c r="AN11" s="670">
        <v>124873</v>
      </c>
      <c r="AO11" s="1034">
        <v>88267</v>
      </c>
      <c r="AP11" s="337">
        <v>15085</v>
      </c>
      <c r="AQ11" s="193">
        <v>21251</v>
      </c>
      <c r="AR11" s="593">
        <v>6177</v>
      </c>
      <c r="AS11" s="193">
        <v>4374</v>
      </c>
      <c r="AT11" s="190">
        <v>39047</v>
      </c>
      <c r="AU11" s="335">
        <v>51074</v>
      </c>
      <c r="AV11" s="196">
        <f t="shared" si="0"/>
        <v>1113935</v>
      </c>
      <c r="AW11" s="939">
        <f>SUM(C11+E11+G11+I11+K11+M11+O11+Q11+S11+U11+W11+Y11+AA11+AC11+AE11+AG11+AI11+AK11+AM11+AO11+AQ11+AS11+AU11)</f>
        <v>1011059</v>
      </c>
      <c r="AX11" s="593">
        <v>598884</v>
      </c>
      <c r="AY11" s="194">
        <v>423926</v>
      </c>
      <c r="AZ11" s="851">
        <f t="shared" si="2"/>
        <v>1712819</v>
      </c>
      <c r="BA11" s="650">
        <f t="shared" si="3"/>
        <v>1434985</v>
      </c>
    </row>
    <row r="12" spans="1:53">
      <c r="A12" s="188" t="s">
        <v>84</v>
      </c>
      <c r="B12" s="189">
        <v>22592</v>
      </c>
      <c r="C12" s="1019">
        <v>22501</v>
      </c>
      <c r="D12" s="195">
        <v>5801</v>
      </c>
      <c r="E12" s="191">
        <v>7068</v>
      </c>
      <c r="F12" s="190">
        <v>34691</v>
      </c>
      <c r="G12" s="191">
        <v>20622</v>
      </c>
      <c r="H12" s="190">
        <v>6305</v>
      </c>
      <c r="I12" s="191">
        <v>248464</v>
      </c>
      <c r="J12" s="190">
        <v>56407</v>
      </c>
      <c r="K12" s="335">
        <v>57638</v>
      </c>
      <c r="L12" s="195">
        <v>25787</v>
      </c>
      <c r="M12" s="191">
        <v>25921</v>
      </c>
      <c r="N12" s="190">
        <v>42213</v>
      </c>
      <c r="O12" s="335">
        <v>34547</v>
      </c>
      <c r="P12" s="195">
        <v>21270</v>
      </c>
      <c r="Q12" s="191">
        <v>22368</v>
      </c>
      <c r="R12" s="190">
        <v>72532</v>
      </c>
      <c r="S12" s="335">
        <f>19282+135</f>
        <v>19417</v>
      </c>
      <c r="T12" s="195">
        <v>324814</v>
      </c>
      <c r="U12" s="191">
        <v>37018</v>
      </c>
      <c r="V12" s="190">
        <v>459026</v>
      </c>
      <c r="W12" s="191">
        <v>408668</v>
      </c>
      <c r="X12" s="190">
        <v>296562</v>
      </c>
      <c r="Y12" s="335">
        <v>204196</v>
      </c>
      <c r="Z12" s="195">
        <v>45365</v>
      </c>
      <c r="AA12" s="191">
        <v>39159</v>
      </c>
      <c r="AB12" s="190">
        <v>12818</v>
      </c>
      <c r="AC12" s="191">
        <v>23202</v>
      </c>
      <c r="AD12" s="190">
        <v>51319</v>
      </c>
      <c r="AE12" s="191">
        <v>50079</v>
      </c>
      <c r="AF12" s="190">
        <v>111657</v>
      </c>
      <c r="AG12" s="191">
        <v>66819</v>
      </c>
      <c r="AH12" s="190">
        <v>27655</v>
      </c>
      <c r="AI12" s="191">
        <v>34034</v>
      </c>
      <c r="AJ12" s="190">
        <v>88009</v>
      </c>
      <c r="AK12" s="335">
        <v>35212</v>
      </c>
      <c r="AL12" s="645"/>
      <c r="AM12" s="191"/>
      <c r="AN12" s="670">
        <v>324533</v>
      </c>
      <c r="AO12" s="1034">
        <v>346632</v>
      </c>
      <c r="AP12" s="337">
        <v>40142</v>
      </c>
      <c r="AQ12" s="193">
        <v>44846</v>
      </c>
      <c r="AR12" s="593">
        <v>22378</v>
      </c>
      <c r="AS12" s="193">
        <v>20986</v>
      </c>
      <c r="AT12" s="190">
        <v>361115</v>
      </c>
      <c r="AU12" s="335">
        <v>430240</v>
      </c>
      <c r="AV12" s="196">
        <f t="shared" si="0"/>
        <v>2452991</v>
      </c>
      <c r="AW12" s="939">
        <f t="shared" si="1"/>
        <v>2199637</v>
      </c>
      <c r="AX12" s="593">
        <v>33739</v>
      </c>
      <c r="AY12" s="194">
        <v>10719</v>
      </c>
      <c r="AZ12" s="851">
        <f t="shared" si="2"/>
        <v>2486730</v>
      </c>
      <c r="BA12" s="939">
        <f t="shared" si="3"/>
        <v>2210356</v>
      </c>
    </row>
    <row r="13" spans="1:53">
      <c r="A13" s="188" t="s">
        <v>85</v>
      </c>
      <c r="B13" s="189">
        <v>23996</v>
      </c>
      <c r="C13" s="1019">
        <v>29503</v>
      </c>
      <c r="D13" s="195">
        <v>8317</v>
      </c>
      <c r="E13" s="191">
        <v>9208</v>
      </c>
      <c r="F13" s="190">
        <v>1406</v>
      </c>
      <c r="G13" s="191">
        <v>461</v>
      </c>
      <c r="H13" s="190"/>
      <c r="I13" s="191">
        <v>45614</v>
      </c>
      <c r="J13" s="190">
        <v>6008</v>
      </c>
      <c r="K13" s="335">
        <v>6240</v>
      </c>
      <c r="L13" s="195">
        <v>8215</v>
      </c>
      <c r="M13" s="191">
        <v>10190</v>
      </c>
      <c r="N13" s="190">
        <v>1182</v>
      </c>
      <c r="O13" s="335">
        <v>357</v>
      </c>
      <c r="P13" s="195">
        <v>9612</v>
      </c>
      <c r="Q13" s="191">
        <v>11721</v>
      </c>
      <c r="R13" s="190">
        <v>10477</v>
      </c>
      <c r="S13" s="335">
        <v>10317</v>
      </c>
      <c r="T13" s="195">
        <v>4302</v>
      </c>
      <c r="U13" s="191">
        <v>3190</v>
      </c>
      <c r="V13" s="190">
        <v>38299</v>
      </c>
      <c r="W13" s="191">
        <v>55897</v>
      </c>
      <c r="X13" s="190">
        <v>70722</v>
      </c>
      <c r="Y13" s="335">
        <v>45837</v>
      </c>
      <c r="Z13" s="195">
        <v>2884</v>
      </c>
      <c r="AA13" s="191">
        <v>144</v>
      </c>
      <c r="AB13" s="190">
        <v>4353</v>
      </c>
      <c r="AC13" s="191">
        <v>8393</v>
      </c>
      <c r="AD13" s="190">
        <v>9343</v>
      </c>
      <c r="AE13" s="191">
        <v>33851</v>
      </c>
      <c r="AF13" s="190">
        <v>61432</v>
      </c>
      <c r="AG13" s="191">
        <v>59681</v>
      </c>
      <c r="AH13" s="190">
        <v>17978</v>
      </c>
      <c r="AI13" s="191">
        <v>16604</v>
      </c>
      <c r="AJ13" s="190">
        <v>4632</v>
      </c>
      <c r="AK13" s="335">
        <v>3159</v>
      </c>
      <c r="AL13" s="645"/>
      <c r="AM13" s="191"/>
      <c r="AN13" s="670">
        <v>69247</v>
      </c>
      <c r="AO13" s="1034">
        <v>80118</v>
      </c>
      <c r="AP13" s="337">
        <v>761</v>
      </c>
      <c r="AQ13" s="193">
        <v>241</v>
      </c>
      <c r="AR13" s="593">
        <v>3267</v>
      </c>
      <c r="AS13" s="193">
        <v>2011</v>
      </c>
      <c r="AT13" s="190">
        <v>51583</v>
      </c>
      <c r="AU13" s="335">
        <v>57537</v>
      </c>
      <c r="AV13" s="196">
        <f t="shared" si="0"/>
        <v>408016</v>
      </c>
      <c r="AW13" s="939">
        <f t="shared" si="1"/>
        <v>490274</v>
      </c>
      <c r="AX13" s="593">
        <v>93174</v>
      </c>
      <c r="AY13" s="194">
        <v>29813</v>
      </c>
      <c r="AZ13" s="851">
        <f t="shared" si="2"/>
        <v>501190</v>
      </c>
      <c r="BA13" s="939">
        <f t="shared" si="3"/>
        <v>520087</v>
      </c>
    </row>
    <row r="14" spans="1:53">
      <c r="A14" s="188" t="s">
        <v>86</v>
      </c>
      <c r="B14" s="189"/>
      <c r="C14" s="1019"/>
      <c r="D14" s="195"/>
      <c r="E14" s="191"/>
      <c r="F14" s="190"/>
      <c r="G14" s="191"/>
      <c r="H14" s="190"/>
      <c r="I14" s="191"/>
      <c r="J14" s="190"/>
      <c r="K14" s="335"/>
      <c r="L14" s="195"/>
      <c r="M14" s="191"/>
      <c r="N14" s="190"/>
      <c r="O14" s="335"/>
      <c r="P14" s="195"/>
      <c r="Q14" s="191"/>
      <c r="R14" s="190"/>
      <c r="S14" s="335"/>
      <c r="T14" s="195"/>
      <c r="U14" s="191"/>
      <c r="V14" s="190"/>
      <c r="W14" s="191"/>
      <c r="X14" s="190"/>
      <c r="Y14" s="335"/>
      <c r="Z14" s="195"/>
      <c r="AA14" s="191"/>
      <c r="AB14" s="190"/>
      <c r="AC14" s="191"/>
      <c r="AD14" s="190"/>
      <c r="AE14" s="191"/>
      <c r="AF14" s="190"/>
      <c r="AG14" s="191"/>
      <c r="AH14" s="190"/>
      <c r="AI14" s="191"/>
      <c r="AJ14" s="190"/>
      <c r="AK14" s="335"/>
      <c r="AL14" s="645"/>
      <c r="AM14" s="191"/>
      <c r="AN14" s="190"/>
      <c r="AO14" s="191"/>
      <c r="AP14" s="337"/>
      <c r="AQ14" s="193"/>
      <c r="AR14" s="593"/>
      <c r="AS14" s="193"/>
      <c r="AT14" s="190"/>
      <c r="AU14" s="335"/>
      <c r="AV14" s="196">
        <f t="shared" si="0"/>
        <v>0</v>
      </c>
      <c r="AW14" s="939">
        <f t="shared" si="1"/>
        <v>0</v>
      </c>
      <c r="AX14" s="593"/>
      <c r="AY14" s="194"/>
      <c r="AZ14" s="851">
        <f t="shared" si="2"/>
        <v>0</v>
      </c>
      <c r="BA14" s="939">
        <f t="shared" si="3"/>
        <v>0</v>
      </c>
    </row>
    <row r="15" spans="1:53">
      <c r="A15" s="188" t="s">
        <v>87</v>
      </c>
      <c r="B15" s="189">
        <v>1800</v>
      </c>
      <c r="C15" s="1019">
        <v>2180</v>
      </c>
      <c r="D15" s="195">
        <v>875</v>
      </c>
      <c r="E15" s="191">
        <v>963</v>
      </c>
      <c r="F15" s="190">
        <v>1601</v>
      </c>
      <c r="G15" s="191">
        <v>1250</v>
      </c>
      <c r="H15" s="190">
        <v>2376</v>
      </c>
      <c r="I15" s="191">
        <v>2375</v>
      </c>
      <c r="J15" s="190">
        <v>1513</v>
      </c>
      <c r="K15" s="335">
        <v>1548</v>
      </c>
      <c r="L15" s="195">
        <v>376</v>
      </c>
      <c r="M15" s="191">
        <v>41</v>
      </c>
      <c r="N15" s="190">
        <v>876</v>
      </c>
      <c r="O15" s="335">
        <v>874</v>
      </c>
      <c r="P15" s="195">
        <v>487</v>
      </c>
      <c r="Q15" s="191">
        <v>700</v>
      </c>
      <c r="R15" s="190">
        <v>925</v>
      </c>
      <c r="S15" s="335">
        <v>1100</v>
      </c>
      <c r="T15" s="195">
        <v>1213</v>
      </c>
      <c r="U15" s="191">
        <v>650</v>
      </c>
      <c r="V15" s="190">
        <v>2400</v>
      </c>
      <c r="W15" s="191">
        <v>2400</v>
      </c>
      <c r="X15" s="190">
        <v>4884</v>
      </c>
      <c r="Y15" s="335">
        <v>5029</v>
      </c>
      <c r="Z15" s="336">
        <v>964</v>
      </c>
      <c r="AA15" s="592">
        <v>1095</v>
      </c>
      <c r="AB15" s="190">
        <v>940</v>
      </c>
      <c r="AC15" s="191">
        <v>820</v>
      </c>
      <c r="AD15" s="373">
        <v>1959</v>
      </c>
      <c r="AE15" s="672">
        <v>1948</v>
      </c>
      <c r="AF15" s="190">
        <v>2257</v>
      </c>
      <c r="AG15" s="191">
        <v>2260</v>
      </c>
      <c r="AH15" s="190">
        <v>1750</v>
      </c>
      <c r="AI15" s="191">
        <v>1750</v>
      </c>
      <c r="AJ15" s="190">
        <v>1563</v>
      </c>
      <c r="AK15" s="335">
        <v>1650</v>
      </c>
      <c r="AL15" s="645"/>
      <c r="AM15" s="191"/>
      <c r="AN15" s="670">
        <v>950</v>
      </c>
      <c r="AO15" s="1034">
        <v>1100</v>
      </c>
      <c r="AP15" s="337">
        <v>425</v>
      </c>
      <c r="AQ15" s="193">
        <v>425</v>
      </c>
      <c r="AR15" s="593">
        <v>919</v>
      </c>
      <c r="AS15" s="193">
        <v>1999</v>
      </c>
      <c r="AT15" s="190">
        <v>2150</v>
      </c>
      <c r="AU15" s="335">
        <v>2150</v>
      </c>
      <c r="AV15" s="189">
        <f t="shared" si="0"/>
        <v>33203</v>
      </c>
      <c r="AW15" s="650">
        <f t="shared" si="1"/>
        <v>34307</v>
      </c>
      <c r="AX15" s="190">
        <v>10164</v>
      </c>
      <c r="AY15" s="191">
        <v>13731</v>
      </c>
      <c r="AZ15" s="852">
        <f t="shared" si="2"/>
        <v>43367</v>
      </c>
      <c r="BA15" s="650">
        <f t="shared" si="3"/>
        <v>48038</v>
      </c>
    </row>
    <row r="16" spans="1:53">
      <c r="A16" s="188" t="s">
        <v>88</v>
      </c>
      <c r="B16" s="189"/>
      <c r="C16" s="1019"/>
      <c r="D16" s="195"/>
      <c r="E16" s="191"/>
      <c r="F16" s="190"/>
      <c r="G16" s="191"/>
      <c r="H16" s="190"/>
      <c r="I16" s="191"/>
      <c r="J16" s="190"/>
      <c r="K16" s="335"/>
      <c r="L16" s="195"/>
      <c r="M16" s="191"/>
      <c r="N16" s="190"/>
      <c r="O16" s="335"/>
      <c r="P16" s="195"/>
      <c r="Q16" s="191"/>
      <c r="R16" s="190"/>
      <c r="S16" s="335"/>
      <c r="T16" s="195"/>
      <c r="U16" s="191"/>
      <c r="V16" s="190"/>
      <c r="W16" s="191"/>
      <c r="X16" s="190"/>
      <c r="Y16" s="335"/>
      <c r="Z16" s="336"/>
      <c r="AA16" s="592"/>
      <c r="AB16" s="190"/>
      <c r="AC16" s="191"/>
      <c r="AD16" s="190"/>
      <c r="AE16" s="191"/>
      <c r="AF16" s="190"/>
      <c r="AG16" s="191"/>
      <c r="AH16" s="190"/>
      <c r="AI16" s="191"/>
      <c r="AJ16" s="190"/>
      <c r="AK16" s="335"/>
      <c r="AL16" s="645"/>
      <c r="AM16" s="191"/>
      <c r="AN16" s="670"/>
      <c r="AO16" s="1034"/>
      <c r="AP16" s="337"/>
      <c r="AQ16" s="193"/>
      <c r="AR16" s="593"/>
      <c r="AS16" s="193"/>
      <c r="AT16" s="190"/>
      <c r="AU16" s="335"/>
      <c r="AV16" s="196">
        <f t="shared" si="0"/>
        <v>0</v>
      </c>
      <c r="AW16" s="939">
        <f t="shared" si="1"/>
        <v>0</v>
      </c>
      <c r="AX16" s="190"/>
      <c r="AY16" s="191"/>
      <c r="AZ16" s="851">
        <f t="shared" si="2"/>
        <v>0</v>
      </c>
      <c r="BA16" s="939">
        <f t="shared" si="3"/>
        <v>0</v>
      </c>
    </row>
    <row r="17" spans="1:53">
      <c r="A17" s="188" t="s">
        <v>89</v>
      </c>
      <c r="B17" s="189"/>
      <c r="C17" s="1019"/>
      <c r="D17" s="195"/>
      <c r="E17" s="191"/>
      <c r="F17" s="190"/>
      <c r="G17" s="191"/>
      <c r="H17" s="190"/>
      <c r="I17" s="191"/>
      <c r="J17" s="190">
        <v>38</v>
      </c>
      <c r="K17" s="335">
        <v>38</v>
      </c>
      <c r="L17" s="195"/>
      <c r="M17" s="191"/>
      <c r="N17" s="190"/>
      <c r="O17" s="335"/>
      <c r="P17" s="195"/>
      <c r="Q17" s="191"/>
      <c r="R17" s="190"/>
      <c r="S17" s="335"/>
      <c r="T17" s="195"/>
      <c r="U17" s="191"/>
      <c r="V17" s="190">
        <v>50</v>
      </c>
      <c r="W17" s="191">
        <v>39</v>
      </c>
      <c r="X17" s="190"/>
      <c r="Y17" s="335"/>
      <c r="Z17" s="336"/>
      <c r="AA17" s="592"/>
      <c r="AB17" s="190"/>
      <c r="AC17" s="191"/>
      <c r="AD17" s="190"/>
      <c r="AE17" s="191"/>
      <c r="AF17" s="190"/>
      <c r="AG17" s="191">
        <v>101</v>
      </c>
      <c r="AH17" s="190"/>
      <c r="AI17" s="191"/>
      <c r="AJ17" s="190"/>
      <c r="AK17" s="335"/>
      <c r="AL17" s="645"/>
      <c r="AM17" s="191"/>
      <c r="AN17" s="670"/>
      <c r="AO17" s="191"/>
      <c r="AP17" s="337"/>
      <c r="AQ17" s="193"/>
      <c r="AR17" s="593"/>
      <c r="AS17" s="193"/>
      <c r="AT17" s="190"/>
      <c r="AU17" s="335"/>
      <c r="AV17" s="196">
        <f t="shared" si="0"/>
        <v>88</v>
      </c>
      <c r="AW17" s="939">
        <f t="shared" si="1"/>
        <v>178</v>
      </c>
      <c r="AX17" s="190"/>
      <c r="AY17" s="191"/>
      <c r="AZ17" s="851">
        <f t="shared" si="2"/>
        <v>88</v>
      </c>
      <c r="BA17" s="939">
        <f t="shared" si="3"/>
        <v>178</v>
      </c>
    </row>
    <row r="18" spans="1:53">
      <c r="A18" s="188" t="s">
        <v>90</v>
      </c>
      <c r="B18" s="189"/>
      <c r="C18" s="1019"/>
      <c r="D18" s="195"/>
      <c r="E18" s="191"/>
      <c r="F18" s="190"/>
      <c r="G18" s="191"/>
      <c r="H18" s="190"/>
      <c r="I18" s="191"/>
      <c r="J18" s="190"/>
      <c r="K18" s="335"/>
      <c r="L18" s="195"/>
      <c r="M18" s="191"/>
      <c r="N18" s="190"/>
      <c r="O18" s="335"/>
      <c r="P18" s="195"/>
      <c r="Q18" s="191"/>
      <c r="R18" s="190"/>
      <c r="S18" s="335"/>
      <c r="T18" s="195"/>
      <c r="U18" s="191"/>
      <c r="V18" s="190"/>
      <c r="W18" s="191"/>
      <c r="X18" s="190"/>
      <c r="Y18" s="335"/>
      <c r="Z18" s="336"/>
      <c r="AA18" s="592"/>
      <c r="AB18" s="190"/>
      <c r="AC18" s="191"/>
      <c r="AD18" s="190"/>
      <c r="AE18" s="191"/>
      <c r="AF18" s="190"/>
      <c r="AG18" s="191"/>
      <c r="AH18" s="190"/>
      <c r="AI18" s="191"/>
      <c r="AJ18" s="190"/>
      <c r="AK18" s="335"/>
      <c r="AL18" s="645"/>
      <c r="AM18" s="191"/>
      <c r="AN18" s="670"/>
      <c r="AO18" s="1034"/>
      <c r="AP18" s="337"/>
      <c r="AQ18" s="193"/>
      <c r="AR18" s="593"/>
      <c r="AS18" s="193"/>
      <c r="AT18" s="190"/>
      <c r="AU18" s="335"/>
      <c r="AV18" s="196">
        <f t="shared" si="0"/>
        <v>0</v>
      </c>
      <c r="AW18" s="939">
        <f t="shared" si="1"/>
        <v>0</v>
      </c>
      <c r="AX18" s="190"/>
      <c r="AY18" s="191"/>
      <c r="AZ18" s="851">
        <f t="shared" si="2"/>
        <v>0</v>
      </c>
      <c r="BA18" s="939">
        <f t="shared" si="3"/>
        <v>0</v>
      </c>
    </row>
    <row r="19" spans="1:53">
      <c r="A19" s="188" t="s">
        <v>91</v>
      </c>
      <c r="B19" s="189">
        <v>180</v>
      </c>
      <c r="C19" s="1019">
        <v>234</v>
      </c>
      <c r="D19" s="195"/>
      <c r="E19" s="191"/>
      <c r="F19" s="190"/>
      <c r="G19" s="191"/>
      <c r="H19" s="190"/>
      <c r="I19" s="191"/>
      <c r="J19" s="190"/>
      <c r="K19" s="335"/>
      <c r="L19" s="195"/>
      <c r="M19" s="191"/>
      <c r="N19" s="190"/>
      <c r="O19" s="335"/>
      <c r="P19" s="195"/>
      <c r="Q19" s="191"/>
      <c r="R19" s="190">
        <v>125</v>
      </c>
      <c r="S19" s="335">
        <v>38</v>
      </c>
      <c r="T19" s="195"/>
      <c r="U19" s="191"/>
      <c r="V19" s="190"/>
      <c r="W19" s="191"/>
      <c r="X19" s="190"/>
      <c r="Y19" s="335"/>
      <c r="Z19" s="336"/>
      <c r="AA19" s="592"/>
      <c r="AB19" s="190"/>
      <c r="AC19" s="191"/>
      <c r="AD19" s="190">
        <v>899</v>
      </c>
      <c r="AE19" s="191">
        <v>639</v>
      </c>
      <c r="AF19" s="190"/>
      <c r="AG19" s="191"/>
      <c r="AH19" s="190"/>
      <c r="AI19" s="191"/>
      <c r="AJ19" s="190"/>
      <c r="AK19" s="335"/>
      <c r="AL19" s="645"/>
      <c r="AM19" s="191"/>
      <c r="AN19" s="670"/>
      <c r="AO19" s="1035"/>
      <c r="AP19" s="337"/>
      <c r="AQ19" s="193"/>
      <c r="AR19" s="593"/>
      <c r="AS19" s="193"/>
      <c r="AT19" s="190"/>
      <c r="AU19" s="335"/>
      <c r="AV19" s="196">
        <f t="shared" si="0"/>
        <v>1204</v>
      </c>
      <c r="AW19" s="939">
        <f t="shared" si="1"/>
        <v>911</v>
      </c>
      <c r="AX19" s="190"/>
      <c r="AY19" s="191"/>
      <c r="AZ19" s="851">
        <f t="shared" si="2"/>
        <v>1204</v>
      </c>
      <c r="BA19" s="939">
        <f t="shared" si="3"/>
        <v>911</v>
      </c>
    </row>
    <row r="20" spans="1:53">
      <c r="A20" s="188" t="s">
        <v>92</v>
      </c>
      <c r="B20" s="189"/>
      <c r="C20" s="1019"/>
      <c r="D20" s="195">
        <v>38</v>
      </c>
      <c r="E20" s="191"/>
      <c r="F20" s="190">
        <v>125</v>
      </c>
      <c r="G20" s="191">
        <v>125</v>
      </c>
      <c r="H20" s="190">
        <v>201</v>
      </c>
      <c r="I20" s="191">
        <v>234</v>
      </c>
      <c r="J20" s="190">
        <v>127</v>
      </c>
      <c r="K20" s="335">
        <v>145</v>
      </c>
      <c r="L20" s="195">
        <v>442</v>
      </c>
      <c r="M20" s="191"/>
      <c r="N20" s="190">
        <v>639</v>
      </c>
      <c r="O20" s="335">
        <v>15</v>
      </c>
      <c r="P20" s="195">
        <v>125</v>
      </c>
      <c r="Q20" s="191">
        <v>175</v>
      </c>
      <c r="R20" s="190">
        <v>38</v>
      </c>
      <c r="S20" s="335">
        <v>520</v>
      </c>
      <c r="T20" s="195">
        <v>6</v>
      </c>
      <c r="U20" s="191">
        <v>902</v>
      </c>
      <c r="V20" s="190">
        <v>1422</v>
      </c>
      <c r="W20" s="191">
        <v>345</v>
      </c>
      <c r="X20" s="190"/>
      <c r="Y20" s="335"/>
      <c r="Z20" s="336">
        <v>75</v>
      </c>
      <c r="AA20" s="592">
        <v>261</v>
      </c>
      <c r="AB20" s="190">
        <v>25</v>
      </c>
      <c r="AC20" s="191">
        <v>27</v>
      </c>
      <c r="AD20" s="373"/>
      <c r="AE20" s="672"/>
      <c r="AF20" s="190">
        <v>1126</v>
      </c>
      <c r="AG20" s="191">
        <v>1125</v>
      </c>
      <c r="AH20" s="197">
        <v>239</v>
      </c>
      <c r="AI20" s="1024">
        <v>300</v>
      </c>
      <c r="AJ20" s="190">
        <v>1830</v>
      </c>
      <c r="AK20" s="335">
        <v>300</v>
      </c>
      <c r="AL20" s="645"/>
      <c r="AM20" s="191"/>
      <c r="AN20" s="670">
        <v>681</v>
      </c>
      <c r="AO20" s="1034">
        <v>966</v>
      </c>
      <c r="AP20" s="337"/>
      <c r="AQ20" s="193"/>
      <c r="AR20" s="593">
        <v>963</v>
      </c>
      <c r="AS20" s="193"/>
      <c r="AT20" s="190">
        <v>158</v>
      </c>
      <c r="AU20" s="335">
        <v>158</v>
      </c>
      <c r="AV20" s="189">
        <f t="shared" si="0"/>
        <v>8260</v>
      </c>
      <c r="AW20" s="650">
        <f t="shared" si="1"/>
        <v>5598</v>
      </c>
      <c r="AX20" s="190"/>
      <c r="AY20" s="191"/>
      <c r="AZ20" s="852">
        <f t="shared" si="2"/>
        <v>8260</v>
      </c>
      <c r="BA20" s="650">
        <f t="shared" si="3"/>
        <v>5598</v>
      </c>
    </row>
    <row r="21" spans="1:53" ht="17.25">
      <c r="A21" s="188" t="s">
        <v>93</v>
      </c>
      <c r="B21" s="189">
        <v>189</v>
      </c>
      <c r="C21" s="1019"/>
      <c r="D21" s="195">
        <v>22</v>
      </c>
      <c r="E21" s="191">
        <v>75</v>
      </c>
      <c r="F21" s="190"/>
      <c r="G21" s="191"/>
      <c r="H21" s="190">
        <v>314</v>
      </c>
      <c r="I21" s="191">
        <v>73</v>
      </c>
      <c r="J21" s="190"/>
      <c r="K21" s="335"/>
      <c r="L21" s="195"/>
      <c r="M21" s="191"/>
      <c r="N21" s="190">
        <v>68</v>
      </c>
      <c r="O21" s="335">
        <v>636</v>
      </c>
      <c r="P21" s="195">
        <v>38</v>
      </c>
      <c r="Q21" s="191">
        <v>50</v>
      </c>
      <c r="R21" s="190">
        <v>150</v>
      </c>
      <c r="S21" s="335">
        <v>100</v>
      </c>
      <c r="T21" s="195"/>
      <c r="U21" s="191"/>
      <c r="V21" s="190"/>
      <c r="W21" s="191"/>
      <c r="X21" s="190"/>
      <c r="Y21" s="335"/>
      <c r="Z21" s="336"/>
      <c r="AA21" s="592"/>
      <c r="AB21" s="190"/>
      <c r="AC21" s="191"/>
      <c r="AD21" s="190"/>
      <c r="AE21" s="191"/>
      <c r="AF21" s="190">
        <v>337</v>
      </c>
      <c r="AG21" s="191">
        <v>587</v>
      </c>
      <c r="AH21" s="198">
        <v>215</v>
      </c>
      <c r="AI21" s="199">
        <v>211</v>
      </c>
      <c r="AJ21" s="190"/>
      <c r="AK21" s="335"/>
      <c r="AL21" s="645"/>
      <c r="AM21" s="191"/>
      <c r="AN21" s="670">
        <v>281</v>
      </c>
      <c r="AO21" s="191"/>
      <c r="AP21" s="337"/>
      <c r="AQ21" s="193"/>
      <c r="AR21" s="593"/>
      <c r="AS21" s="193"/>
      <c r="AT21" s="190">
        <v>38</v>
      </c>
      <c r="AU21" s="335"/>
      <c r="AV21" s="196">
        <f t="shared" si="0"/>
        <v>1652</v>
      </c>
      <c r="AW21" s="939">
        <f t="shared" si="1"/>
        <v>1732</v>
      </c>
      <c r="AX21" s="593"/>
      <c r="AY21" s="194"/>
      <c r="AZ21" s="851">
        <f t="shared" si="2"/>
        <v>1652</v>
      </c>
      <c r="BA21" s="939">
        <f t="shared" si="3"/>
        <v>1732</v>
      </c>
    </row>
    <row r="22" spans="1:53">
      <c r="A22" s="188" t="s">
        <v>94</v>
      </c>
      <c r="B22" s="189">
        <v>345741</v>
      </c>
      <c r="C22" s="1019">
        <v>370400</v>
      </c>
      <c r="D22" s="195">
        <v>85542</v>
      </c>
      <c r="E22" s="191">
        <v>41073</v>
      </c>
      <c r="F22" s="190">
        <v>31964</v>
      </c>
      <c r="G22" s="191">
        <v>32632</v>
      </c>
      <c r="H22" s="190">
        <v>278021</v>
      </c>
      <c r="I22" s="191">
        <v>52600</v>
      </c>
      <c r="J22" s="190">
        <v>741588</v>
      </c>
      <c r="K22" s="335">
        <v>189187</v>
      </c>
      <c r="L22" s="195">
        <v>41493</v>
      </c>
      <c r="M22" s="191">
        <v>63313</v>
      </c>
      <c r="N22" s="190">
        <v>14272</v>
      </c>
      <c r="O22" s="335">
        <v>1441</v>
      </c>
      <c r="P22" s="195">
        <v>54383</v>
      </c>
      <c r="Q22" s="191">
        <v>110451</v>
      </c>
      <c r="R22" s="190">
        <v>64606</v>
      </c>
      <c r="S22" s="335">
        <v>57928</v>
      </c>
      <c r="T22" s="195">
        <v>137153</v>
      </c>
      <c r="U22" s="191">
        <v>120006</v>
      </c>
      <c r="V22" s="190">
        <v>1990363</v>
      </c>
      <c r="W22" s="191">
        <v>1708252</v>
      </c>
      <c r="X22" s="190">
        <v>1410145</v>
      </c>
      <c r="Y22" s="335">
        <v>1056409</v>
      </c>
      <c r="Z22" s="336">
        <v>49202</v>
      </c>
      <c r="AA22" s="592">
        <v>56475</v>
      </c>
      <c r="AB22" s="190">
        <v>155130</v>
      </c>
      <c r="AC22" s="191">
        <v>53899</v>
      </c>
      <c r="AD22" s="190">
        <v>426170</v>
      </c>
      <c r="AE22" s="191">
        <v>120402</v>
      </c>
      <c r="AF22" s="190">
        <v>191342</v>
      </c>
      <c r="AG22" s="191">
        <v>159773</v>
      </c>
      <c r="AH22" s="190">
        <v>49400</v>
      </c>
      <c r="AI22" s="191">
        <v>141527</v>
      </c>
      <c r="AJ22" s="190">
        <v>245704</v>
      </c>
      <c r="AK22" s="335">
        <v>166620</v>
      </c>
      <c r="AL22" s="645"/>
      <c r="AM22" s="191"/>
      <c r="AN22" s="670">
        <v>72182</v>
      </c>
      <c r="AO22" s="1034">
        <v>40844</v>
      </c>
      <c r="AP22" s="337">
        <v>47467</v>
      </c>
      <c r="AQ22" s="193">
        <v>39033</v>
      </c>
      <c r="AR22" s="593">
        <v>56118</v>
      </c>
      <c r="AS22" s="193">
        <v>1454</v>
      </c>
      <c r="AT22" s="190">
        <v>802786</v>
      </c>
      <c r="AU22" s="335">
        <v>738088</v>
      </c>
      <c r="AV22" s="196">
        <f t="shared" si="0"/>
        <v>7290772</v>
      </c>
      <c r="AW22" s="939">
        <f t="shared" si="1"/>
        <v>5321807</v>
      </c>
      <c r="AX22" s="593">
        <v>392001</v>
      </c>
      <c r="AY22" s="194">
        <v>403999</v>
      </c>
      <c r="AZ22" s="851">
        <f t="shared" si="2"/>
        <v>7682773</v>
      </c>
      <c r="BA22" s="939">
        <f t="shared" si="3"/>
        <v>5725806</v>
      </c>
    </row>
    <row r="23" spans="1:53">
      <c r="A23" s="188" t="s">
        <v>95</v>
      </c>
      <c r="B23" s="189">
        <v>20246</v>
      </c>
      <c r="C23" s="1019">
        <v>24905</v>
      </c>
      <c r="D23" s="195">
        <v>9314</v>
      </c>
      <c r="E23" s="191">
        <v>8776</v>
      </c>
      <c r="F23" s="190">
        <v>5653</v>
      </c>
      <c r="G23" s="191">
        <v>6733</v>
      </c>
      <c r="H23" s="190">
        <v>19022</v>
      </c>
      <c r="I23" s="191">
        <v>20421</v>
      </c>
      <c r="J23" s="190">
        <v>9470</v>
      </c>
      <c r="K23" s="335">
        <v>9685</v>
      </c>
      <c r="L23" s="195">
        <v>11587</v>
      </c>
      <c r="M23" s="191">
        <v>12409</v>
      </c>
      <c r="N23" s="190">
        <v>4239</v>
      </c>
      <c r="O23" s="335">
        <v>4148</v>
      </c>
      <c r="P23" s="195">
        <v>4961</v>
      </c>
      <c r="Q23" s="191">
        <v>6466</v>
      </c>
      <c r="R23" s="190">
        <v>15217</v>
      </c>
      <c r="S23" s="335">
        <v>13349</v>
      </c>
      <c r="T23" s="195">
        <v>2030</v>
      </c>
      <c r="U23" s="191">
        <v>5979</v>
      </c>
      <c r="V23" s="190">
        <v>32425</v>
      </c>
      <c r="W23" s="191">
        <v>34936</v>
      </c>
      <c r="X23" s="190">
        <v>47786</v>
      </c>
      <c r="Y23" s="335">
        <v>59877</v>
      </c>
      <c r="Z23" s="336">
        <v>5483</v>
      </c>
      <c r="AA23" s="592">
        <v>5757</v>
      </c>
      <c r="AB23" s="190">
        <v>4827</v>
      </c>
      <c r="AC23" s="191">
        <v>6441</v>
      </c>
      <c r="AD23" s="190">
        <v>12989</v>
      </c>
      <c r="AE23" s="191">
        <v>23167</v>
      </c>
      <c r="AF23" s="373">
        <v>27690</v>
      </c>
      <c r="AG23" s="672">
        <v>41889</v>
      </c>
      <c r="AH23" s="190">
        <v>16173</v>
      </c>
      <c r="AI23" s="191">
        <v>6107</v>
      </c>
      <c r="AJ23" s="190">
        <v>18448</v>
      </c>
      <c r="AK23" s="335">
        <v>14724</v>
      </c>
      <c r="AL23" s="645"/>
      <c r="AM23" s="191"/>
      <c r="AN23" s="670">
        <v>17179</v>
      </c>
      <c r="AO23" s="1034">
        <v>18673</v>
      </c>
      <c r="AP23" s="337">
        <v>2510</v>
      </c>
      <c r="AQ23" s="193">
        <v>1456</v>
      </c>
      <c r="AR23" s="593">
        <v>961</v>
      </c>
      <c r="AS23" s="193">
        <v>802</v>
      </c>
      <c r="AT23" s="190">
        <v>22937</v>
      </c>
      <c r="AU23" s="335">
        <v>31946</v>
      </c>
      <c r="AV23" s="196">
        <f t="shared" si="0"/>
        <v>311147</v>
      </c>
      <c r="AW23" s="939">
        <f t="shared" si="1"/>
        <v>358646</v>
      </c>
      <c r="AX23" s="593">
        <v>111272</v>
      </c>
      <c r="AY23" s="194">
        <v>6806</v>
      </c>
      <c r="AZ23" s="851">
        <f t="shared" si="2"/>
        <v>422419</v>
      </c>
      <c r="BA23" s="939">
        <f t="shared" si="3"/>
        <v>365452</v>
      </c>
    </row>
    <row r="24" spans="1:53">
      <c r="A24" s="188" t="s">
        <v>96</v>
      </c>
      <c r="B24" s="189">
        <v>2278</v>
      </c>
      <c r="C24" s="1019">
        <f>368</f>
        <v>368</v>
      </c>
      <c r="D24" s="195"/>
      <c r="E24" s="191"/>
      <c r="F24" s="190"/>
      <c r="G24" s="191"/>
      <c r="H24" s="190"/>
      <c r="I24" s="191"/>
      <c r="J24" s="190">
        <v>108262</v>
      </c>
      <c r="K24" s="335">
        <v>56982</v>
      </c>
      <c r="L24" s="195"/>
      <c r="M24" s="191"/>
      <c r="N24" s="190">
        <v>2664</v>
      </c>
      <c r="O24" s="335">
        <v>734</v>
      </c>
      <c r="P24" s="195"/>
      <c r="Q24" s="191"/>
      <c r="R24" s="190">
        <v>2124</v>
      </c>
      <c r="S24" s="335">
        <v>617</v>
      </c>
      <c r="T24" s="195"/>
      <c r="U24" s="191"/>
      <c r="V24" s="190"/>
      <c r="W24" s="191"/>
      <c r="X24" s="190"/>
      <c r="Y24" s="335"/>
      <c r="Z24" s="336"/>
      <c r="AA24" s="592"/>
      <c r="AB24" s="190"/>
      <c r="AC24" s="191"/>
      <c r="AD24" s="190"/>
      <c r="AE24" s="191"/>
      <c r="AF24" s="190"/>
      <c r="AG24" s="191"/>
      <c r="AH24" s="190"/>
      <c r="AI24" s="191"/>
      <c r="AJ24" s="190"/>
      <c r="AK24" s="335"/>
      <c r="AL24" s="645"/>
      <c r="AM24" s="191"/>
      <c r="AN24" s="670"/>
      <c r="AO24" s="1034">
        <v>168</v>
      </c>
      <c r="AP24" s="337"/>
      <c r="AQ24" s="193"/>
      <c r="AR24" s="593"/>
      <c r="AS24" s="193">
        <v>3</v>
      </c>
      <c r="AT24" s="190"/>
      <c r="AU24" s="335"/>
      <c r="AV24" s="196">
        <f t="shared" si="0"/>
        <v>115328</v>
      </c>
      <c r="AW24" s="939">
        <f t="shared" si="1"/>
        <v>58872</v>
      </c>
      <c r="AX24" s="593"/>
      <c r="AY24" s="194"/>
      <c r="AZ24" s="851">
        <f t="shared" si="2"/>
        <v>115328</v>
      </c>
      <c r="BA24" s="939">
        <f t="shared" si="3"/>
        <v>58872</v>
      </c>
    </row>
    <row r="25" spans="1:53">
      <c r="A25" s="188" t="s">
        <v>97</v>
      </c>
      <c r="B25" s="189"/>
      <c r="C25" s="1019">
        <v>154254</v>
      </c>
      <c r="D25" s="195">
        <v>58976</v>
      </c>
      <c r="E25" s="191">
        <v>69281</v>
      </c>
      <c r="F25" s="190">
        <v>44928</v>
      </c>
      <c r="G25" s="191">
        <v>41855</v>
      </c>
      <c r="H25" s="190">
        <v>169745</v>
      </c>
      <c r="I25" s="191">
        <v>162965</v>
      </c>
      <c r="J25" s="190">
        <v>100472</v>
      </c>
      <c r="K25" s="335">
        <v>120031</v>
      </c>
      <c r="L25" s="195">
        <v>72773</v>
      </c>
      <c r="M25" s="191">
        <v>96655</v>
      </c>
      <c r="N25" s="190">
        <v>24777</v>
      </c>
      <c r="O25" s="335">
        <v>34661</v>
      </c>
      <c r="P25" s="195">
        <v>46779</v>
      </c>
      <c r="Q25" s="191">
        <v>52346</v>
      </c>
      <c r="R25" s="190"/>
      <c r="S25" s="335"/>
      <c r="T25" s="195">
        <v>27391</v>
      </c>
      <c r="U25" s="191">
        <v>25580</v>
      </c>
      <c r="V25" s="190">
        <v>283140</v>
      </c>
      <c r="W25" s="191">
        <v>266618</v>
      </c>
      <c r="X25" s="190">
        <v>248624</v>
      </c>
      <c r="Y25" s="335"/>
      <c r="Z25" s="336">
        <v>36974</v>
      </c>
      <c r="AA25" s="592">
        <v>37583</v>
      </c>
      <c r="AB25" s="190">
        <v>68287</v>
      </c>
      <c r="AC25" s="191">
        <v>116497</v>
      </c>
      <c r="AD25" s="373">
        <v>80778</v>
      </c>
      <c r="AE25" s="672">
        <v>140823</v>
      </c>
      <c r="AF25" s="190">
        <v>153780</v>
      </c>
      <c r="AG25" s="191">
        <v>174310</v>
      </c>
      <c r="AH25" s="190">
        <v>110408</v>
      </c>
      <c r="AI25" s="191">
        <v>132900</v>
      </c>
      <c r="AJ25" s="190">
        <v>91714</v>
      </c>
      <c r="AK25" s="335">
        <v>81633</v>
      </c>
      <c r="AL25" s="645"/>
      <c r="AM25" s="191"/>
      <c r="AN25" s="670">
        <v>166635</v>
      </c>
      <c r="AO25" s="1034">
        <v>277968</v>
      </c>
      <c r="AP25" s="337">
        <v>34500</v>
      </c>
      <c r="AQ25" s="193">
        <v>25530</v>
      </c>
      <c r="AR25" s="593">
        <v>33288</v>
      </c>
      <c r="AS25" s="193">
        <v>42793</v>
      </c>
      <c r="AT25" s="190">
        <v>129294</v>
      </c>
      <c r="AU25" s="335">
        <v>121920</v>
      </c>
      <c r="AV25" s="189">
        <f t="shared" si="0"/>
        <v>1983263</v>
      </c>
      <c r="AW25" s="650">
        <f t="shared" si="1"/>
        <v>2176203</v>
      </c>
      <c r="AX25" s="190"/>
      <c r="AY25" s="191"/>
      <c r="AZ25" s="852">
        <f t="shared" si="2"/>
        <v>1983263</v>
      </c>
      <c r="BA25" s="650">
        <f t="shared" si="3"/>
        <v>2176203</v>
      </c>
    </row>
    <row r="26" spans="1:53">
      <c r="A26" s="188" t="s">
        <v>98</v>
      </c>
      <c r="B26" s="189"/>
      <c r="C26" s="1019"/>
      <c r="D26" s="195">
        <v>5</v>
      </c>
      <c r="E26" s="191"/>
      <c r="F26" s="190">
        <v>3881</v>
      </c>
      <c r="G26" s="191">
        <v>3034</v>
      </c>
      <c r="H26" s="190"/>
      <c r="I26" s="191"/>
      <c r="J26" s="190"/>
      <c r="K26" s="335"/>
      <c r="L26" s="195"/>
      <c r="M26" s="191"/>
      <c r="N26" s="190"/>
      <c r="O26" s="335"/>
      <c r="P26" s="195">
        <v>736</v>
      </c>
      <c r="Q26" s="191">
        <v>2702</v>
      </c>
      <c r="R26" s="190">
        <f>-20+3566</f>
        <v>3546</v>
      </c>
      <c r="S26" s="335">
        <v>30401</v>
      </c>
      <c r="T26" s="195">
        <v>3510</v>
      </c>
      <c r="U26" s="191">
        <v>560</v>
      </c>
      <c r="V26" s="190">
        <v>5382</v>
      </c>
      <c r="W26" s="191">
        <v>4402</v>
      </c>
      <c r="X26" s="190">
        <v>8393</v>
      </c>
      <c r="Y26" s="335"/>
      <c r="Z26" s="336"/>
      <c r="AA26" s="592"/>
      <c r="AB26" s="190"/>
      <c r="AC26" s="191"/>
      <c r="AD26" s="190">
        <v>8537</v>
      </c>
      <c r="AE26" s="672">
        <v>24233</v>
      </c>
      <c r="AF26" s="337">
        <f>14158+10292</f>
        <v>24450</v>
      </c>
      <c r="AG26" s="193">
        <f>5182+19082</f>
        <v>24264</v>
      </c>
      <c r="AH26" s="190"/>
      <c r="AI26" s="191"/>
      <c r="AJ26" s="190"/>
      <c r="AK26" s="335"/>
      <c r="AL26" s="645"/>
      <c r="AM26" s="191"/>
      <c r="AN26" s="670">
        <v>17755</v>
      </c>
      <c r="AO26" s="1034">
        <v>23569</v>
      </c>
      <c r="AP26" s="337">
        <v>317</v>
      </c>
      <c r="AQ26" s="193">
        <v>368</v>
      </c>
      <c r="AR26" s="593">
        <v>4787</v>
      </c>
      <c r="AS26" s="193">
        <v>13636</v>
      </c>
      <c r="AT26" s="190"/>
      <c r="AU26" s="335"/>
      <c r="AV26" s="196">
        <f t="shared" si="0"/>
        <v>81299</v>
      </c>
      <c r="AW26" s="939">
        <f t="shared" si="1"/>
        <v>127169</v>
      </c>
      <c r="AX26" s="593">
        <v>7365318</v>
      </c>
      <c r="AY26" s="194">
        <v>4961848</v>
      </c>
      <c r="AZ26" s="851">
        <f t="shared" si="2"/>
        <v>7446617</v>
      </c>
      <c r="BA26" s="939">
        <f t="shared" si="3"/>
        <v>5089017</v>
      </c>
    </row>
    <row r="27" spans="1:53">
      <c r="A27" s="188" t="s">
        <v>99</v>
      </c>
      <c r="B27" s="189">
        <v>59649</v>
      </c>
      <c r="C27" s="1019">
        <v>61454</v>
      </c>
      <c r="D27" s="195">
        <v>16203</v>
      </c>
      <c r="E27" s="191">
        <v>12780</v>
      </c>
      <c r="F27" s="190"/>
      <c r="G27" s="191"/>
      <c r="H27" s="190">
        <v>88448</v>
      </c>
      <c r="I27" s="191">
        <v>91696</v>
      </c>
      <c r="J27" s="190">
        <v>25573</v>
      </c>
      <c r="K27" s="335">
        <v>11769</v>
      </c>
      <c r="L27" s="195"/>
      <c r="M27" s="191"/>
      <c r="N27" s="190">
        <v>30313</v>
      </c>
      <c r="O27" s="335">
        <v>17534</v>
      </c>
      <c r="P27" s="195">
        <v>12437</v>
      </c>
      <c r="Q27" s="191">
        <v>11262</v>
      </c>
      <c r="R27" s="190"/>
      <c r="S27" s="335"/>
      <c r="T27" s="195"/>
      <c r="U27" s="191"/>
      <c r="V27" s="190">
        <v>264204</v>
      </c>
      <c r="W27" s="191">
        <v>140442</v>
      </c>
      <c r="X27" s="190"/>
      <c r="Y27" s="335"/>
      <c r="Z27" s="336">
        <v>5112</v>
      </c>
      <c r="AA27" s="592">
        <v>1300</v>
      </c>
      <c r="AB27" s="190">
        <v>16568</v>
      </c>
      <c r="AC27" s="191">
        <v>28974</v>
      </c>
      <c r="AD27" s="190">
        <v>107748</v>
      </c>
      <c r="AE27" s="672">
        <v>85517</v>
      </c>
      <c r="AF27" s="337">
        <v>844285</v>
      </c>
      <c r="AG27" s="193">
        <v>233677</v>
      </c>
      <c r="AH27" s="190"/>
      <c r="AI27" s="191"/>
      <c r="AJ27" s="190">
        <v>4781</v>
      </c>
      <c r="AK27" s="335">
        <v>6835</v>
      </c>
      <c r="AL27" s="645"/>
      <c r="AM27" s="191"/>
      <c r="AN27" s="670">
        <v>244875</v>
      </c>
      <c r="AO27" s="1034">
        <v>152625</v>
      </c>
      <c r="AP27" s="337"/>
      <c r="AQ27" s="193"/>
      <c r="AR27" s="593">
        <v>4469</v>
      </c>
      <c r="AS27" s="193"/>
      <c r="AT27" s="190">
        <v>95738</v>
      </c>
      <c r="AU27" s="335">
        <v>184583</v>
      </c>
      <c r="AV27" s="196">
        <f t="shared" si="0"/>
        <v>1820403</v>
      </c>
      <c r="AW27" s="939">
        <f t="shared" si="1"/>
        <v>1040448</v>
      </c>
      <c r="AX27" s="593">
        <v>866380</v>
      </c>
      <c r="AY27" s="194">
        <v>533798</v>
      </c>
      <c r="AZ27" s="851">
        <f t="shared" si="2"/>
        <v>2686783</v>
      </c>
      <c r="BA27" s="939">
        <f t="shared" si="3"/>
        <v>1574246</v>
      </c>
    </row>
    <row r="28" spans="1:53">
      <c r="A28" s="188" t="s">
        <v>100</v>
      </c>
      <c r="B28" s="189">
        <v>68257</v>
      </c>
      <c r="C28" s="1019"/>
      <c r="D28" s="195">
        <v>36997</v>
      </c>
      <c r="E28" s="191">
        <v>68706</v>
      </c>
      <c r="F28" s="190">
        <v>17967</v>
      </c>
      <c r="G28" s="191">
        <v>18815</v>
      </c>
      <c r="H28" s="190">
        <v>85772</v>
      </c>
      <c r="I28" s="191">
        <v>92260</v>
      </c>
      <c r="J28" s="190">
        <v>21888</v>
      </c>
      <c r="K28" s="335">
        <v>27418</v>
      </c>
      <c r="L28" s="195">
        <v>15230</v>
      </c>
      <c r="M28" s="191">
        <v>24944</v>
      </c>
      <c r="N28" s="190">
        <v>43740</v>
      </c>
      <c r="O28" s="335">
        <v>44653</v>
      </c>
      <c r="P28" s="195">
        <v>56573</v>
      </c>
      <c r="Q28" s="191">
        <v>71735</v>
      </c>
      <c r="R28" s="190">
        <v>34909</v>
      </c>
      <c r="S28" s="335">
        <v>35064</v>
      </c>
      <c r="T28" s="195">
        <v>42012</v>
      </c>
      <c r="U28" s="191">
        <v>57127</v>
      </c>
      <c r="V28" s="190">
        <f>94296+11514</f>
        <v>105810</v>
      </c>
      <c r="W28" s="191">
        <v>120051</v>
      </c>
      <c r="X28" s="190">
        <v>146142</v>
      </c>
      <c r="Y28" s="335"/>
      <c r="Z28" s="336">
        <v>25566</v>
      </c>
      <c r="AA28" s="592">
        <v>23692</v>
      </c>
      <c r="AB28" s="190">
        <v>41659</v>
      </c>
      <c r="AC28" s="191">
        <v>57453</v>
      </c>
      <c r="AD28" s="190">
        <v>104517</v>
      </c>
      <c r="AE28" s="672">
        <v>103765</v>
      </c>
      <c r="AF28" s="337">
        <v>190722</v>
      </c>
      <c r="AG28" s="193">
        <v>199956</v>
      </c>
      <c r="AH28" s="190">
        <v>81908</v>
      </c>
      <c r="AI28" s="191">
        <v>110125</v>
      </c>
      <c r="AJ28" s="190">
        <v>47706</v>
      </c>
      <c r="AK28" s="335">
        <v>70472</v>
      </c>
      <c r="AL28" s="645"/>
      <c r="AM28" s="191"/>
      <c r="AN28" s="670">
        <v>195949</v>
      </c>
      <c r="AO28" s="1034">
        <v>220875</v>
      </c>
      <c r="AP28" s="337">
        <v>34547</v>
      </c>
      <c r="AQ28" s="193">
        <v>39400</v>
      </c>
      <c r="AR28" s="593">
        <v>21955</v>
      </c>
      <c r="AS28" s="193">
        <v>23272</v>
      </c>
      <c r="AT28" s="190">
        <v>115031</v>
      </c>
      <c r="AU28" s="335">
        <v>129397</v>
      </c>
      <c r="AV28" s="196">
        <f t="shared" si="0"/>
        <v>1534857</v>
      </c>
      <c r="AW28" s="939">
        <f t="shared" si="1"/>
        <v>1539180</v>
      </c>
      <c r="AX28" s="593">
        <v>872905</v>
      </c>
      <c r="AY28" s="194">
        <v>1055981</v>
      </c>
      <c r="AZ28" s="851">
        <f t="shared" si="2"/>
        <v>2407762</v>
      </c>
      <c r="BA28" s="939">
        <f t="shared" si="3"/>
        <v>2595161</v>
      </c>
    </row>
    <row r="29" spans="1:53">
      <c r="A29" s="188" t="s">
        <v>101</v>
      </c>
      <c r="B29" s="189">
        <v>-449</v>
      </c>
      <c r="C29" s="1019">
        <v>-1250</v>
      </c>
      <c r="D29" s="195"/>
      <c r="E29" s="191"/>
      <c r="F29" s="190"/>
      <c r="G29" s="191"/>
      <c r="H29" s="190"/>
      <c r="I29" s="191"/>
      <c r="J29" s="190"/>
      <c r="K29" s="335"/>
      <c r="L29" s="195"/>
      <c r="M29" s="191"/>
      <c r="N29" s="190">
        <v>-141</v>
      </c>
      <c r="O29" s="335">
        <v>2</v>
      </c>
      <c r="P29" s="195">
        <v>119</v>
      </c>
      <c r="Q29" s="191"/>
      <c r="R29" s="190"/>
      <c r="S29" s="335"/>
      <c r="T29" s="195"/>
      <c r="U29" s="191"/>
      <c r="V29" s="190"/>
      <c r="W29" s="191"/>
      <c r="X29" s="190"/>
      <c r="Y29" s="335"/>
      <c r="Z29" s="336"/>
      <c r="AA29" s="592"/>
      <c r="AB29" s="190"/>
      <c r="AC29" s="191"/>
      <c r="AD29" s="190"/>
      <c r="AE29" s="672"/>
      <c r="AF29" s="337"/>
      <c r="AG29" s="193"/>
      <c r="AH29" s="190"/>
      <c r="AI29" s="191"/>
      <c r="AJ29" s="190"/>
      <c r="AK29" s="335"/>
      <c r="AL29" s="645"/>
      <c r="AM29" s="191"/>
      <c r="AN29" s="670"/>
      <c r="AO29" s="1034"/>
      <c r="AP29" s="337"/>
      <c r="AQ29" s="193"/>
      <c r="AR29" s="593"/>
      <c r="AS29" s="193"/>
      <c r="AT29" s="190"/>
      <c r="AU29" s="335"/>
      <c r="AV29" s="196">
        <f t="shared" si="0"/>
        <v>-471</v>
      </c>
      <c r="AW29" s="939">
        <f t="shared" si="1"/>
        <v>-1248</v>
      </c>
      <c r="AX29" s="593"/>
      <c r="AY29" s="194"/>
      <c r="AZ29" s="851">
        <f t="shared" si="2"/>
        <v>-471</v>
      </c>
      <c r="BA29" s="939">
        <f t="shared" si="3"/>
        <v>-1248</v>
      </c>
    </row>
    <row r="30" spans="1:53">
      <c r="A30" s="188" t="s">
        <v>102</v>
      </c>
      <c r="B30" s="189">
        <v>102436</v>
      </c>
      <c r="C30" s="1019"/>
      <c r="D30" s="195"/>
      <c r="E30" s="191"/>
      <c r="F30" s="190"/>
      <c r="G30" s="191"/>
      <c r="H30" s="190"/>
      <c r="I30" s="191"/>
      <c r="J30" s="190"/>
      <c r="K30" s="335"/>
      <c r="L30" s="195"/>
      <c r="M30" s="191"/>
      <c r="N30" s="190">
        <v>8168</v>
      </c>
      <c r="O30" s="335"/>
      <c r="P30" s="195"/>
      <c r="Q30" s="191"/>
      <c r="R30" s="190"/>
      <c r="S30" s="335"/>
      <c r="T30" s="195"/>
      <c r="U30" s="191"/>
      <c r="V30" s="190"/>
      <c r="W30" s="191"/>
      <c r="X30" s="190"/>
      <c r="Y30" s="335"/>
      <c r="Z30" s="336"/>
      <c r="AA30" s="592"/>
      <c r="AB30" s="190"/>
      <c r="AC30" s="191"/>
      <c r="AD30" s="190"/>
      <c r="AE30" s="672"/>
      <c r="AF30" s="337"/>
      <c r="AG30" s="193"/>
      <c r="AH30" s="190"/>
      <c r="AI30" s="191"/>
      <c r="AJ30" s="190"/>
      <c r="AK30" s="335"/>
      <c r="AL30" s="645"/>
      <c r="AM30" s="191"/>
      <c r="AN30" s="670"/>
      <c r="AO30" s="1034"/>
      <c r="AP30" s="337"/>
      <c r="AQ30" s="193"/>
      <c r="AR30" s="593"/>
      <c r="AS30" s="193"/>
      <c r="AT30" s="190"/>
      <c r="AU30" s="335"/>
      <c r="AV30" s="196">
        <f t="shared" si="0"/>
        <v>110604</v>
      </c>
      <c r="AW30" s="939">
        <f t="shared" si="1"/>
        <v>0</v>
      </c>
      <c r="AX30" s="593"/>
      <c r="AY30" s="194"/>
      <c r="AZ30" s="851">
        <f t="shared" si="2"/>
        <v>110604</v>
      </c>
      <c r="BA30" s="939">
        <f t="shared" si="3"/>
        <v>0</v>
      </c>
    </row>
    <row r="31" spans="1:53">
      <c r="A31" s="188" t="s">
        <v>103</v>
      </c>
      <c r="B31" s="189"/>
      <c r="C31" s="1019"/>
      <c r="D31" s="195">
        <v>13061</v>
      </c>
      <c r="E31" s="191">
        <v>2486</v>
      </c>
      <c r="F31" s="190"/>
      <c r="G31" s="191"/>
      <c r="H31" s="190">
        <v>181337</v>
      </c>
      <c r="I31" s="1024">
        <v>59722</v>
      </c>
      <c r="J31" s="190"/>
      <c r="K31" s="335"/>
      <c r="L31" s="195"/>
      <c r="M31" s="191"/>
      <c r="N31" s="190">
        <v>3566</v>
      </c>
      <c r="O31" s="335">
        <v>2748</v>
      </c>
      <c r="P31" s="195">
        <v>52038</v>
      </c>
      <c r="Q31" s="191">
        <v>96406</v>
      </c>
      <c r="R31" s="190">
        <v>492253</v>
      </c>
      <c r="S31" s="335">
        <v>300141</v>
      </c>
      <c r="T31" s="195"/>
      <c r="U31" s="191"/>
      <c r="V31" s="190">
        <v>913010</v>
      </c>
      <c r="W31" s="191">
        <v>132588</v>
      </c>
      <c r="X31" s="190">
        <v>336198</v>
      </c>
      <c r="Y31" s="335"/>
      <c r="Z31" s="336">
        <v>28142</v>
      </c>
      <c r="AA31" s="592">
        <v>261</v>
      </c>
      <c r="AB31" s="190"/>
      <c r="AC31" s="191"/>
      <c r="AD31" s="190">
        <v>176783</v>
      </c>
      <c r="AE31" s="672">
        <v>99574</v>
      </c>
      <c r="AF31" s="337"/>
      <c r="AG31" s="193"/>
      <c r="AH31" s="190">
        <v>174865</v>
      </c>
      <c r="AI31" s="191">
        <v>38956</v>
      </c>
      <c r="AJ31" s="190">
        <v>97782</v>
      </c>
      <c r="AK31" s="335">
        <f>40788</f>
        <v>40788</v>
      </c>
      <c r="AL31" s="645"/>
      <c r="AM31" s="191"/>
      <c r="AN31" s="670">
        <v>75000</v>
      </c>
      <c r="AO31" s="1034"/>
      <c r="AP31" s="337"/>
      <c r="AQ31" s="193"/>
      <c r="AR31" s="593">
        <v>30077</v>
      </c>
      <c r="AS31" s="193">
        <v>5133</v>
      </c>
      <c r="AT31" s="190">
        <v>114824</v>
      </c>
      <c r="AU31" s="335">
        <f>4396+4637</f>
        <v>9033</v>
      </c>
      <c r="AV31" s="196">
        <f t="shared" si="0"/>
        <v>2688936</v>
      </c>
      <c r="AW31" s="939">
        <f t="shared" si="1"/>
        <v>787836</v>
      </c>
      <c r="AX31" s="593">
        <v>5488856</v>
      </c>
      <c r="AY31" s="194">
        <v>4727065</v>
      </c>
      <c r="AZ31" s="851">
        <f t="shared" si="2"/>
        <v>8177792</v>
      </c>
      <c r="BA31" s="939">
        <f t="shared" si="3"/>
        <v>5514901</v>
      </c>
    </row>
    <row r="32" spans="1:53">
      <c r="A32" s="188" t="s">
        <v>104</v>
      </c>
      <c r="B32" s="189"/>
      <c r="C32" s="1019"/>
      <c r="D32" s="195">
        <v>24205</v>
      </c>
      <c r="E32" s="191">
        <v>14900</v>
      </c>
      <c r="F32" s="190"/>
      <c r="G32" s="191"/>
      <c r="H32" s="190"/>
      <c r="I32" s="191"/>
      <c r="J32" s="190"/>
      <c r="K32" s="335"/>
      <c r="L32" s="195"/>
      <c r="M32" s="191"/>
      <c r="N32" s="190"/>
      <c r="O32" s="335"/>
      <c r="P32" s="195">
        <v>50267</v>
      </c>
      <c r="Q32" s="191">
        <v>52440</v>
      </c>
      <c r="R32" s="190"/>
      <c r="S32" s="335"/>
      <c r="T32" s="195"/>
      <c r="U32" s="191"/>
      <c r="V32" s="190"/>
      <c r="W32" s="191"/>
      <c r="X32" s="190"/>
      <c r="Y32" s="335"/>
      <c r="Z32" s="336"/>
      <c r="AA32" s="592"/>
      <c r="AB32" s="190"/>
      <c r="AC32" s="191"/>
      <c r="AD32" s="190">
        <v>31899</v>
      </c>
      <c r="AE32" s="672">
        <v>-1269</v>
      </c>
      <c r="AF32" s="337"/>
      <c r="AG32" s="193"/>
      <c r="AH32" s="190"/>
      <c r="AI32" s="191"/>
      <c r="AJ32" s="190">
        <v>57506</v>
      </c>
      <c r="AK32" s="335">
        <v>38558</v>
      </c>
      <c r="AL32" s="645"/>
      <c r="AM32" s="191"/>
      <c r="AN32" s="670"/>
      <c r="AO32" s="1034"/>
      <c r="AP32" s="337"/>
      <c r="AQ32" s="193"/>
      <c r="AR32" s="593"/>
      <c r="AS32" s="193"/>
      <c r="AT32" s="190">
        <v>212</v>
      </c>
      <c r="AU32" s="335"/>
      <c r="AV32" s="196">
        <f t="shared" si="0"/>
        <v>164089</v>
      </c>
      <c r="AW32" s="939">
        <f t="shared" si="1"/>
        <v>104629</v>
      </c>
      <c r="AX32" s="593"/>
      <c r="AY32" s="194"/>
      <c r="AZ32" s="851">
        <f t="shared" si="2"/>
        <v>164089</v>
      </c>
      <c r="BA32" s="939">
        <f t="shared" si="3"/>
        <v>104629</v>
      </c>
    </row>
    <row r="33" spans="1:53">
      <c r="A33" s="188" t="s">
        <v>105</v>
      </c>
      <c r="B33" s="189"/>
      <c r="C33" s="1019"/>
      <c r="D33" s="195">
        <v>5159</v>
      </c>
      <c r="E33" s="191">
        <v>3144</v>
      </c>
      <c r="F33" s="190"/>
      <c r="G33" s="191"/>
      <c r="H33" s="190"/>
      <c r="I33" s="191"/>
      <c r="J33" s="190">
        <f>17986+13665+3725+6606</f>
        <v>41982</v>
      </c>
      <c r="K33" s="335">
        <f>1123+13471+9947+2648</f>
        <v>27189</v>
      </c>
      <c r="L33" s="195"/>
      <c r="M33" s="191"/>
      <c r="N33" s="190"/>
      <c r="O33" s="335">
        <f>2487</f>
        <v>2487</v>
      </c>
      <c r="P33" s="195">
        <v>7015</v>
      </c>
      <c r="Q33" s="191"/>
      <c r="R33" s="190"/>
      <c r="S33" s="335"/>
      <c r="T33" s="195"/>
      <c r="U33" s="191"/>
      <c r="V33" s="190"/>
      <c r="W33" s="191">
        <v>182389</v>
      </c>
      <c r="X33" s="190">
        <v>60013</v>
      </c>
      <c r="Y33" s="335"/>
      <c r="Z33" s="336"/>
      <c r="AA33" s="592"/>
      <c r="AB33" s="190">
        <v>7715</v>
      </c>
      <c r="AC33" s="191">
        <v>7037</v>
      </c>
      <c r="AD33" s="190">
        <v>90879</v>
      </c>
      <c r="AE33" s="672">
        <v>67541</v>
      </c>
      <c r="AF33" s="337">
        <v>3864</v>
      </c>
      <c r="AG33" s="193"/>
      <c r="AH33" s="190">
        <v>33990</v>
      </c>
      <c r="AI33" s="191">
        <v>27508</v>
      </c>
      <c r="AJ33" s="190"/>
      <c r="AK33" s="335"/>
      <c r="AL33" s="645"/>
      <c r="AM33" s="191"/>
      <c r="AN33" s="670"/>
      <c r="AO33" s="1034"/>
      <c r="AP33" s="337"/>
      <c r="AQ33" s="193"/>
      <c r="AR33" s="593"/>
      <c r="AS33" s="193"/>
      <c r="AT33" s="190">
        <v>46397</v>
      </c>
      <c r="AU33" s="335">
        <v>21944</v>
      </c>
      <c r="AV33" s="196">
        <f t="shared" si="0"/>
        <v>297014</v>
      </c>
      <c r="AW33" s="939">
        <f t="shared" si="1"/>
        <v>339239</v>
      </c>
      <c r="AX33" s="593"/>
      <c r="AY33" s="194"/>
      <c r="AZ33" s="851">
        <f t="shared" si="2"/>
        <v>297014</v>
      </c>
      <c r="BA33" s="939">
        <f t="shared" si="3"/>
        <v>339239</v>
      </c>
    </row>
    <row r="34" spans="1:53">
      <c r="A34" s="188" t="s">
        <v>106</v>
      </c>
      <c r="B34" s="189">
        <v>27080</v>
      </c>
      <c r="C34" s="1019">
        <v>19553</v>
      </c>
      <c r="D34" s="195">
        <v>3516</v>
      </c>
      <c r="E34" s="191">
        <v>1967</v>
      </c>
      <c r="F34" s="190">
        <v>10071</v>
      </c>
      <c r="G34" s="191">
        <v>5416</v>
      </c>
      <c r="H34" s="190">
        <v>26166</v>
      </c>
      <c r="I34" s="191">
        <v>22796</v>
      </c>
      <c r="J34" s="190">
        <v>9565</v>
      </c>
      <c r="K34" s="335">
        <v>7688</v>
      </c>
      <c r="L34" s="195"/>
      <c r="M34" s="191"/>
      <c r="N34" s="190">
        <v>6291</v>
      </c>
      <c r="O34" s="335">
        <v>3638</v>
      </c>
      <c r="P34" s="195"/>
      <c r="Q34" s="191"/>
      <c r="R34" s="190">
        <v>18739</v>
      </c>
      <c r="S34" s="335">
        <v>12372</v>
      </c>
      <c r="T34" s="195"/>
      <c r="U34" s="191"/>
      <c r="V34" s="190"/>
      <c r="W34" s="191"/>
      <c r="X34" s="190"/>
      <c r="Y34" s="335"/>
      <c r="Z34" s="336">
        <v>5877</v>
      </c>
      <c r="AA34" s="592">
        <v>2180</v>
      </c>
      <c r="AB34" s="190"/>
      <c r="AC34" s="191"/>
      <c r="AD34" s="190">
        <v>27296</v>
      </c>
      <c r="AE34" s="672">
        <v>20438</v>
      </c>
      <c r="AF34" s="337">
        <v>53678</v>
      </c>
      <c r="AG34" s="193">
        <v>17909</v>
      </c>
      <c r="AH34" s="190"/>
      <c r="AI34" s="191"/>
      <c r="AJ34" s="190"/>
      <c r="AK34" s="335"/>
      <c r="AL34" s="645"/>
      <c r="AM34" s="191"/>
      <c r="AN34" s="670"/>
      <c r="AO34" s="1034"/>
      <c r="AP34" s="337"/>
      <c r="AQ34" s="193"/>
      <c r="AR34" s="593"/>
      <c r="AS34" s="193"/>
      <c r="AT34" s="190"/>
      <c r="AU34" s="335"/>
      <c r="AV34" s="196">
        <f t="shared" si="0"/>
        <v>188279</v>
      </c>
      <c r="AW34" s="939">
        <f t="shared" si="1"/>
        <v>113957</v>
      </c>
      <c r="AX34" s="593">
        <v>636651</v>
      </c>
      <c r="AY34" s="194">
        <v>410170</v>
      </c>
      <c r="AZ34" s="851">
        <f t="shared" si="2"/>
        <v>824930</v>
      </c>
      <c r="BA34" s="939">
        <f t="shared" si="3"/>
        <v>524127</v>
      </c>
    </row>
    <row r="35" spans="1:53">
      <c r="A35" s="188" t="s">
        <v>107</v>
      </c>
      <c r="B35" s="189">
        <v>17878</v>
      </c>
      <c r="C35" s="1019">
        <v>18607</v>
      </c>
      <c r="D35" s="195">
        <v>10164</v>
      </c>
      <c r="E35" s="191">
        <v>1783</v>
      </c>
      <c r="F35" s="190">
        <v>8432</v>
      </c>
      <c r="G35" s="191">
        <v>6005</v>
      </c>
      <c r="H35" s="190"/>
      <c r="I35" s="191"/>
      <c r="J35" s="190"/>
      <c r="K35" s="335"/>
      <c r="L35" s="195"/>
      <c r="M35" s="191"/>
      <c r="N35" s="190"/>
      <c r="O35" s="335"/>
      <c r="P35" s="195"/>
      <c r="Q35" s="191"/>
      <c r="R35" s="190"/>
      <c r="S35" s="335"/>
      <c r="T35" s="195"/>
      <c r="U35" s="191"/>
      <c r="V35" s="190"/>
      <c r="W35" s="191"/>
      <c r="X35" s="190"/>
      <c r="Y35" s="335"/>
      <c r="Z35" s="336"/>
      <c r="AA35" s="592"/>
      <c r="AB35" s="190"/>
      <c r="AC35" s="191"/>
      <c r="AD35" s="190">
        <v>11623</v>
      </c>
      <c r="AE35" s="672">
        <v>5502</v>
      </c>
      <c r="AF35" s="337">
        <v>82435</v>
      </c>
      <c r="AG35" s="193">
        <v>25934</v>
      </c>
      <c r="AH35" s="190">
        <v>13102</v>
      </c>
      <c r="AI35" s="191">
        <v>3658</v>
      </c>
      <c r="AJ35" s="190"/>
      <c r="AK35" s="335"/>
      <c r="AL35" s="645"/>
      <c r="AM35" s="191"/>
      <c r="AN35" s="670">
        <v>3360</v>
      </c>
      <c r="AO35" s="1034"/>
      <c r="AP35" s="337"/>
      <c r="AQ35" s="193"/>
      <c r="AR35" s="593"/>
      <c r="AS35" s="193"/>
      <c r="AT35" s="197"/>
      <c r="AU35" s="197"/>
      <c r="AV35" s="196">
        <f t="shared" si="0"/>
        <v>146994</v>
      </c>
      <c r="AW35" s="939">
        <f t="shared" si="1"/>
        <v>61489</v>
      </c>
      <c r="AX35" s="593"/>
      <c r="AY35" s="194"/>
      <c r="AZ35" s="851">
        <f t="shared" si="2"/>
        <v>146994</v>
      </c>
      <c r="BA35" s="939">
        <f t="shared" si="3"/>
        <v>61489</v>
      </c>
    </row>
    <row r="36" spans="1:53">
      <c r="A36" s="188" t="s">
        <v>108</v>
      </c>
      <c r="B36" s="189">
        <f>20514+154254</f>
        <v>174768</v>
      </c>
      <c r="C36" s="1019">
        <v>21663</v>
      </c>
      <c r="D36" s="195">
        <v>573</v>
      </c>
      <c r="E36" s="191">
        <v>2900</v>
      </c>
      <c r="F36" s="190">
        <v>3364</v>
      </c>
      <c r="G36" s="191">
        <v>2352</v>
      </c>
      <c r="H36" s="190">
        <v>33124</v>
      </c>
      <c r="I36" s="191">
        <v>24940</v>
      </c>
      <c r="J36" s="190">
        <v>18105</v>
      </c>
      <c r="K36" s="335">
        <v>2868</v>
      </c>
      <c r="L36" s="195">
        <v>49703</v>
      </c>
      <c r="M36" s="191">
        <v>47357</v>
      </c>
      <c r="N36" s="190">
        <f>40+40866</f>
        <v>40906</v>
      </c>
      <c r="O36" s="335">
        <v>7535</v>
      </c>
      <c r="P36" s="195"/>
      <c r="Q36" s="191">
        <v>6025</v>
      </c>
      <c r="R36" s="190">
        <f>5575+3435</f>
        <v>9010</v>
      </c>
      <c r="S36" s="335">
        <f>9306+1145</f>
        <v>10451</v>
      </c>
      <c r="T36" s="195">
        <f>4674+4388</f>
        <v>9062</v>
      </c>
      <c r="U36" s="191">
        <f>1925+4689</f>
        <v>6614</v>
      </c>
      <c r="V36" s="190">
        <v>190049</v>
      </c>
      <c r="W36" s="191"/>
      <c r="X36" s="190">
        <f>83022+85707</f>
        <v>168729</v>
      </c>
      <c r="Y36" s="335"/>
      <c r="Z36" s="336">
        <f>11164+2408</f>
        <v>13572</v>
      </c>
      <c r="AA36" s="592">
        <f>2342+5187</f>
        <v>7529</v>
      </c>
      <c r="AB36" s="190"/>
      <c r="AC36" s="191"/>
      <c r="AD36" s="373">
        <f>4499</f>
        <v>4499</v>
      </c>
      <c r="AE36" s="672">
        <f>5431</f>
        <v>5431</v>
      </c>
      <c r="AF36" s="337">
        <f>286+5657+31421</f>
        <v>37364</v>
      </c>
      <c r="AG36" s="193">
        <f>2216+17222+1205+2378</f>
        <v>23021</v>
      </c>
      <c r="AH36" s="190">
        <v>-2421</v>
      </c>
      <c r="AI36" s="191">
        <v>-9716</v>
      </c>
      <c r="AJ36" s="190">
        <f>27336+60622</f>
        <v>87958</v>
      </c>
      <c r="AK36" s="335">
        <f>79064+3256</f>
        <v>82320</v>
      </c>
      <c r="AL36" s="645"/>
      <c r="AM36" s="191"/>
      <c r="AN36" s="670">
        <v>173303</v>
      </c>
      <c r="AO36" s="1034">
        <v>91518</v>
      </c>
      <c r="AP36" s="337">
        <v>78818</v>
      </c>
      <c r="AQ36" s="193">
        <v>44154</v>
      </c>
      <c r="AR36" s="593">
        <v>6342</v>
      </c>
      <c r="AS36" s="193">
        <v>6715</v>
      </c>
      <c r="AT36" s="190">
        <v>2250</v>
      </c>
      <c r="AU36" s="335">
        <v>2000</v>
      </c>
      <c r="AV36" s="189">
        <f t="shared" si="0"/>
        <v>1099078</v>
      </c>
      <c r="AW36" s="650">
        <f t="shared" si="1"/>
        <v>385677</v>
      </c>
      <c r="AX36" s="190">
        <f>76239+9313+1110650+177645</f>
        <v>1373847</v>
      </c>
      <c r="AY36" s="191">
        <f>84214+52597+865785+12022</f>
        <v>1014618</v>
      </c>
      <c r="AZ36" s="852">
        <f t="shared" si="2"/>
        <v>2472925</v>
      </c>
      <c r="BA36" s="650">
        <f t="shared" si="3"/>
        <v>1400295</v>
      </c>
    </row>
    <row r="37" spans="1:53" ht="17.25" thickBot="1">
      <c r="A37" s="200" t="s">
        <v>109</v>
      </c>
      <c r="B37" s="202">
        <v>68905</v>
      </c>
      <c r="C37" s="1020">
        <v>81168</v>
      </c>
      <c r="D37" s="1022"/>
      <c r="E37" s="201"/>
      <c r="F37" s="203"/>
      <c r="G37" s="201"/>
      <c r="H37" s="203">
        <v>51556</v>
      </c>
      <c r="I37" s="201">
        <v>54013</v>
      </c>
      <c r="J37" s="203">
        <v>2032</v>
      </c>
      <c r="K37" s="1025">
        <v>1118</v>
      </c>
      <c r="L37" s="1022"/>
      <c r="M37" s="201"/>
      <c r="N37" s="203"/>
      <c r="O37" s="1025"/>
      <c r="P37" s="1022"/>
      <c r="Q37" s="201"/>
      <c r="R37" s="203"/>
      <c r="S37" s="1025"/>
      <c r="T37" s="1022">
        <v>19656</v>
      </c>
      <c r="U37" s="201">
        <v>25177</v>
      </c>
      <c r="V37" s="203"/>
      <c r="W37" s="201"/>
      <c r="X37" s="203"/>
      <c r="Y37" s="1025"/>
      <c r="Z37" s="1027"/>
      <c r="AA37" s="1028"/>
      <c r="AB37" s="203">
        <v>17736</v>
      </c>
      <c r="AC37" s="201">
        <v>25376</v>
      </c>
      <c r="AD37" s="673"/>
      <c r="AE37" s="1030"/>
      <c r="AF37" s="338"/>
      <c r="AG37" s="1031"/>
      <c r="AH37" s="203"/>
      <c r="AI37" s="201"/>
      <c r="AJ37" s="203"/>
      <c r="AK37" s="1025"/>
      <c r="AL37" s="1032"/>
      <c r="AM37" s="201"/>
      <c r="AN37" s="671"/>
      <c r="AO37" s="1036"/>
      <c r="AP37" s="338"/>
      <c r="AQ37" s="1031"/>
      <c r="AR37" s="1038"/>
      <c r="AS37" s="1039"/>
      <c r="AT37" s="203"/>
      <c r="AU37" s="1025"/>
      <c r="AV37" s="202">
        <f t="shared" si="0"/>
        <v>159885</v>
      </c>
      <c r="AW37" s="840">
        <f t="shared" si="1"/>
        <v>186852</v>
      </c>
      <c r="AX37" s="203"/>
      <c r="AY37" s="201"/>
      <c r="AZ37" s="853">
        <f t="shared" si="2"/>
        <v>159885</v>
      </c>
      <c r="BA37" s="840">
        <f t="shared" si="3"/>
        <v>186852</v>
      </c>
    </row>
    <row r="38" spans="1:53" s="1176" customFormat="1" ht="18.75" thickBot="1">
      <c r="A38" s="1169" t="s">
        <v>54</v>
      </c>
      <c r="B38" s="1170">
        <f>SUM(B5:B37)</f>
        <v>2913487</v>
      </c>
      <c r="C38" s="1171">
        <f t="shared" ref="C38:AH38" si="4">SUM(C5:C37)</f>
        <v>2647156</v>
      </c>
      <c r="D38" s="1170">
        <f t="shared" si="4"/>
        <v>578553</v>
      </c>
      <c r="E38" s="1172">
        <f t="shared" si="4"/>
        <v>499939</v>
      </c>
      <c r="F38" s="1173">
        <f t="shared" si="4"/>
        <v>723058</v>
      </c>
      <c r="G38" s="1172">
        <f t="shared" si="4"/>
        <v>668464</v>
      </c>
      <c r="H38" s="1173">
        <f t="shared" si="4"/>
        <v>4346795</v>
      </c>
      <c r="I38" s="1172">
        <f t="shared" si="4"/>
        <v>3394782</v>
      </c>
      <c r="J38" s="1173">
        <f t="shared" si="4"/>
        <v>1933434</v>
      </c>
      <c r="K38" s="1171">
        <f t="shared" si="4"/>
        <v>1290428</v>
      </c>
      <c r="L38" s="1170">
        <f t="shared" si="4"/>
        <v>1079211</v>
      </c>
      <c r="M38" s="1172">
        <f t="shared" si="4"/>
        <v>1247457</v>
      </c>
      <c r="N38" s="1173">
        <f t="shared" si="4"/>
        <v>835782</v>
      </c>
      <c r="O38" s="1171">
        <f t="shared" si="4"/>
        <v>667265</v>
      </c>
      <c r="P38" s="1170">
        <f t="shared" si="4"/>
        <v>1208962</v>
      </c>
      <c r="Q38" s="1172">
        <f t="shared" si="4"/>
        <v>1353041</v>
      </c>
      <c r="R38" s="1173">
        <f t="shared" si="4"/>
        <v>1786965</v>
      </c>
      <c r="S38" s="1171">
        <f t="shared" si="4"/>
        <v>1428450</v>
      </c>
      <c r="T38" s="1170">
        <f t="shared" si="4"/>
        <v>1583499</v>
      </c>
      <c r="U38" s="1172">
        <f t="shared" si="4"/>
        <v>1364677</v>
      </c>
      <c r="V38" s="1173">
        <f t="shared" si="4"/>
        <v>8808089</v>
      </c>
      <c r="W38" s="1172">
        <f t="shared" si="4"/>
        <v>6672041</v>
      </c>
      <c r="X38" s="1173">
        <f t="shared" si="4"/>
        <v>6458261</v>
      </c>
      <c r="Y38" s="1171">
        <f t="shared" si="4"/>
        <v>4275736</v>
      </c>
      <c r="Z38" s="1170">
        <f t="shared" si="4"/>
        <v>566006</v>
      </c>
      <c r="AA38" s="1172">
        <f t="shared" si="4"/>
        <v>455498</v>
      </c>
      <c r="AB38" s="1173">
        <f t="shared" si="4"/>
        <v>917616</v>
      </c>
      <c r="AC38" s="1172">
        <f t="shared" si="4"/>
        <v>1051041</v>
      </c>
      <c r="AD38" s="1173">
        <f t="shared" si="4"/>
        <v>3329334</v>
      </c>
      <c r="AE38" s="1172">
        <f t="shared" si="4"/>
        <v>3117715</v>
      </c>
      <c r="AF38" s="1173">
        <f t="shared" si="4"/>
        <v>4948763</v>
      </c>
      <c r="AG38" s="1172">
        <f t="shared" si="4"/>
        <v>4466610</v>
      </c>
      <c r="AH38" s="1173">
        <f t="shared" si="4"/>
        <v>2183034</v>
      </c>
      <c r="AI38" s="1172">
        <f t="shared" ref="AI38:AU38" si="5">SUM(AI5:AI37)</f>
        <v>2085604</v>
      </c>
      <c r="AJ38" s="1173">
        <f t="shared" si="5"/>
        <v>2879740</v>
      </c>
      <c r="AK38" s="1171">
        <f t="shared" si="5"/>
        <v>2448341</v>
      </c>
      <c r="AL38" s="1170">
        <f t="shared" si="5"/>
        <v>0</v>
      </c>
      <c r="AM38" s="1172">
        <f t="shared" si="5"/>
        <v>0</v>
      </c>
      <c r="AN38" s="1173">
        <f t="shared" si="5"/>
        <v>4980099</v>
      </c>
      <c r="AO38" s="1172">
        <f t="shared" si="5"/>
        <v>5375802</v>
      </c>
      <c r="AP38" s="1173">
        <f t="shared" si="5"/>
        <v>1055503</v>
      </c>
      <c r="AQ38" s="1172">
        <f t="shared" si="5"/>
        <v>974146</v>
      </c>
      <c r="AR38" s="1173">
        <f t="shared" si="5"/>
        <v>907282</v>
      </c>
      <c r="AS38" s="1172">
        <f t="shared" si="5"/>
        <v>777684</v>
      </c>
      <c r="AT38" s="1173">
        <f t="shared" si="5"/>
        <v>3506080</v>
      </c>
      <c r="AU38" s="1171">
        <f t="shared" si="5"/>
        <v>3604733</v>
      </c>
      <c r="AV38" s="1177">
        <f t="shared" si="0"/>
        <v>57529553</v>
      </c>
      <c r="AW38" s="1178">
        <f t="shared" si="1"/>
        <v>49866610</v>
      </c>
      <c r="AX38" s="1174">
        <f>SUM(AX5:AX37)</f>
        <v>71079447</v>
      </c>
      <c r="AY38" s="1175">
        <f>SUM(AY5:AY37)</f>
        <v>77878455</v>
      </c>
      <c r="AZ38" s="1179">
        <f t="shared" si="2"/>
        <v>128609000</v>
      </c>
      <c r="BA38" s="1178">
        <f t="shared" si="3"/>
        <v>127745065</v>
      </c>
    </row>
    <row r="39" spans="1:53">
      <c r="A39" s="842" t="s">
        <v>110</v>
      </c>
      <c r="B39" s="845"/>
      <c r="C39" s="1021"/>
      <c r="D39" s="1023">
        <v>-256939</v>
      </c>
      <c r="E39" s="846"/>
      <c r="F39" s="844"/>
      <c r="G39" s="846"/>
      <c r="H39" s="844"/>
      <c r="I39" s="846"/>
      <c r="J39" s="844"/>
      <c r="K39" s="1026"/>
      <c r="L39" s="1023"/>
      <c r="M39" s="846"/>
      <c r="N39" s="844"/>
      <c r="O39" s="1026"/>
      <c r="P39" s="1023">
        <v>-731439</v>
      </c>
      <c r="Q39" s="846"/>
      <c r="R39" s="844"/>
      <c r="S39" s="1026"/>
      <c r="T39" s="1023"/>
      <c r="U39" s="846"/>
      <c r="V39" s="844"/>
      <c r="W39" s="846"/>
      <c r="X39" s="844"/>
      <c r="Y39" s="1026"/>
      <c r="Z39" s="1029"/>
      <c r="AA39" s="848"/>
      <c r="AB39" s="844"/>
      <c r="AC39" s="846"/>
      <c r="AD39" s="844"/>
      <c r="AE39" s="846"/>
      <c r="AF39" s="849"/>
      <c r="AG39" s="850"/>
      <c r="AH39" s="844"/>
      <c r="AI39" s="846"/>
      <c r="AJ39" s="844"/>
      <c r="AK39" s="1026"/>
      <c r="AL39" s="1033"/>
      <c r="AM39" s="846"/>
      <c r="AN39" s="844"/>
      <c r="AO39" s="846"/>
      <c r="AP39" s="849"/>
      <c r="AQ39" s="850"/>
      <c r="AR39" s="847"/>
      <c r="AS39" s="848"/>
      <c r="AT39" s="844"/>
      <c r="AU39" s="1026"/>
      <c r="AV39" s="1037">
        <f t="shared" si="0"/>
        <v>-988378</v>
      </c>
      <c r="AW39" s="841">
        <f t="shared" si="1"/>
        <v>0</v>
      </c>
      <c r="AX39" s="844"/>
      <c r="AY39" s="846"/>
      <c r="AZ39" s="854">
        <f t="shared" si="2"/>
        <v>-988378</v>
      </c>
      <c r="BA39" s="841">
        <f t="shared" si="3"/>
        <v>0</v>
      </c>
    </row>
    <row r="40" spans="1:53" ht="17.25" thickBot="1">
      <c r="A40" s="843"/>
      <c r="B40" s="594"/>
      <c r="C40" s="649"/>
      <c r="D40" s="594">
        <v>321614</v>
      </c>
      <c r="E40" s="595"/>
      <c r="F40" s="596"/>
      <c r="G40" s="595"/>
      <c r="H40" s="596"/>
      <c r="I40" s="595"/>
      <c r="J40" s="596"/>
      <c r="K40" s="649"/>
      <c r="L40" s="594"/>
      <c r="M40" s="595"/>
      <c r="N40" s="596"/>
      <c r="O40" s="649"/>
      <c r="P40" s="594">
        <f>P38+P39</f>
        <v>477523</v>
      </c>
      <c r="Q40" s="595"/>
      <c r="R40" s="596"/>
      <c r="S40" s="649"/>
      <c r="T40" s="594"/>
      <c r="U40" s="595"/>
      <c r="V40" s="596"/>
      <c r="W40" s="595"/>
      <c r="X40" s="596"/>
      <c r="Y40" s="649"/>
      <c r="Z40" s="594"/>
      <c r="AA40" s="595"/>
      <c r="AB40" s="596"/>
      <c r="AC40" s="595"/>
      <c r="AD40" s="596"/>
      <c r="AE40" s="595"/>
      <c r="AF40" s="596"/>
      <c r="AG40" s="595"/>
      <c r="AH40" s="596"/>
      <c r="AI40" s="595"/>
      <c r="AJ40" s="596"/>
      <c r="AK40" s="649"/>
      <c r="AL40" s="594"/>
      <c r="AM40" s="595"/>
      <c r="AN40" s="596"/>
      <c r="AO40" s="595"/>
      <c r="AP40" s="596"/>
      <c r="AQ40" s="595"/>
      <c r="AR40" s="596"/>
      <c r="AS40" s="595"/>
      <c r="AT40" s="596"/>
      <c r="AU40" s="649"/>
      <c r="AV40" s="594"/>
      <c r="AW40" s="595"/>
      <c r="AX40" s="596"/>
      <c r="AY40" s="595"/>
      <c r="AZ40" s="596"/>
      <c r="BA40" s="595"/>
    </row>
  </sheetData>
  <mergeCells count="29">
    <mergeCell ref="AZ3:BA3"/>
    <mergeCell ref="AX3:AY3"/>
    <mergeCell ref="Z3:AA3"/>
    <mergeCell ref="AD3:AE3"/>
    <mergeCell ref="AF3:AG3"/>
    <mergeCell ref="AH3:AI3"/>
    <mergeCell ref="AJ3:AK3"/>
    <mergeCell ref="AL3:AM3"/>
    <mergeCell ref="AR3:AS3"/>
    <mergeCell ref="AP3:AQ3"/>
    <mergeCell ref="V3:W3"/>
    <mergeCell ref="AB3:AC3"/>
    <mergeCell ref="AN3:AO3"/>
    <mergeCell ref="B3:C3"/>
    <mergeCell ref="D3:E3"/>
    <mergeCell ref="F3:G3"/>
    <mergeCell ref="H3:I3"/>
    <mergeCell ref="L3:M3"/>
    <mergeCell ref="J3:K3"/>
    <mergeCell ref="AV3:AW3"/>
    <mergeCell ref="AT3:AU3"/>
    <mergeCell ref="A1:BA1"/>
    <mergeCell ref="A2:BA2"/>
    <mergeCell ref="A3:A4"/>
    <mergeCell ref="N3:O3"/>
    <mergeCell ref="X3:Y3"/>
    <mergeCell ref="P3:Q3"/>
    <mergeCell ref="R3:S3"/>
    <mergeCell ref="T3:U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G39"/>
  <sheetViews>
    <sheetView workbookViewId="0">
      <pane xSplit="1" topLeftCell="V1" activePane="topRight" state="frozen"/>
      <selection pane="topRight" activeCell="W35" sqref="W35"/>
    </sheetView>
    <sheetView workbookViewId="1">
      <pane xSplit="1" topLeftCell="AP1" activePane="topRight" state="frozen"/>
      <selection activeCell="A3" sqref="A3"/>
      <selection pane="topRight" activeCell="AP20" sqref="AP20"/>
    </sheetView>
  </sheetViews>
  <sheetFormatPr defaultRowHeight="15"/>
  <cols>
    <col min="1" max="1" width="28.42578125" style="173" customWidth="1"/>
    <col min="2" max="2" width="11.7109375" bestFit="1" customWidth="1"/>
    <col min="3" max="3" width="11.42578125" customWidth="1"/>
    <col min="4" max="21" width="11.42578125" bestFit="1" customWidth="1"/>
    <col min="22" max="23" width="11.42578125" style="170" bestFit="1" customWidth="1"/>
    <col min="24" max="24" width="11.7109375" customWidth="1"/>
    <col min="25" max="25" width="11.7109375" bestFit="1" customWidth="1"/>
    <col min="26" max="39" width="11.42578125" bestFit="1" customWidth="1"/>
    <col min="40" max="41" width="11.42578125" customWidth="1"/>
    <col min="42" max="47" width="11.42578125" style="170" bestFit="1" customWidth="1"/>
    <col min="48" max="53" width="11.42578125" style="171" bestFit="1" customWidth="1"/>
    <col min="57" max="57" width="11.42578125" customWidth="1"/>
    <col min="58" max="58" width="13" customWidth="1"/>
    <col min="59" max="59" width="11.5703125" customWidth="1"/>
  </cols>
  <sheetData>
    <row r="1" spans="1:59" s="94" customFormat="1" ht="13.5" customHeight="1">
      <c r="A1" s="1255" t="s">
        <v>160</v>
      </c>
      <c r="B1" s="1255"/>
      <c r="C1" s="1255"/>
      <c r="D1" s="1255"/>
      <c r="E1" s="1255"/>
      <c r="F1" s="1255"/>
      <c r="G1" s="1255"/>
      <c r="H1" s="1255"/>
      <c r="I1" s="1255"/>
      <c r="J1" s="1255"/>
      <c r="K1" s="1255"/>
      <c r="L1" s="1255"/>
      <c r="M1" s="1255"/>
      <c r="N1" s="1255"/>
      <c r="O1" s="1255"/>
      <c r="P1" s="1255"/>
      <c r="Q1" s="1255"/>
      <c r="R1" s="1255"/>
      <c r="S1" s="1255"/>
      <c r="T1" s="1255"/>
      <c r="U1" s="1255"/>
      <c r="V1" s="1255"/>
      <c r="W1" s="1255"/>
      <c r="X1" s="1255"/>
      <c r="Y1" s="1255"/>
      <c r="Z1" s="1255"/>
      <c r="AA1" s="1255"/>
      <c r="AB1" s="1255"/>
      <c r="AC1" s="1255"/>
      <c r="AD1" s="1255"/>
      <c r="AE1" s="1255"/>
      <c r="AF1" s="1255"/>
      <c r="AG1" s="1255"/>
      <c r="AH1" s="1255"/>
      <c r="AI1" s="1255"/>
      <c r="AJ1" s="1255"/>
      <c r="AK1" s="1255"/>
      <c r="AL1" s="1255"/>
      <c r="AM1" s="1255"/>
      <c r="AN1" s="1255"/>
      <c r="AO1" s="1255"/>
      <c r="AP1" s="1255"/>
      <c r="AQ1" s="1255"/>
      <c r="AR1" s="1255"/>
      <c r="AS1" s="1255"/>
      <c r="AT1" s="1255"/>
      <c r="AU1" s="1255"/>
      <c r="AV1" s="1255"/>
      <c r="AW1" s="1255"/>
      <c r="AX1" s="1255"/>
      <c r="AY1" s="1255"/>
      <c r="AZ1" s="1255"/>
      <c r="BA1" s="1255"/>
    </row>
    <row r="2" spans="1:59" s="94" customFormat="1" ht="14.25" customHeight="1" thickBot="1">
      <c r="A2" s="1256" t="s">
        <v>59</v>
      </c>
      <c r="B2" s="1256"/>
      <c r="C2" s="1256"/>
      <c r="D2" s="1256"/>
      <c r="E2" s="1256"/>
      <c r="F2" s="1256"/>
      <c r="G2" s="1256"/>
      <c r="H2" s="1256"/>
      <c r="I2" s="1256"/>
      <c r="J2" s="1256"/>
      <c r="K2" s="1256"/>
      <c r="L2" s="1256"/>
      <c r="M2" s="1256"/>
      <c r="N2" s="1256"/>
      <c r="O2" s="1256"/>
      <c r="P2" s="1256"/>
      <c r="Q2" s="1256"/>
      <c r="R2" s="1256"/>
      <c r="S2" s="1256"/>
      <c r="T2" s="1256"/>
      <c r="U2" s="1256"/>
      <c r="V2" s="1256"/>
      <c r="W2" s="1256"/>
      <c r="X2" s="1256"/>
      <c r="Y2" s="1256"/>
      <c r="Z2" s="1256"/>
      <c r="AA2" s="1256"/>
      <c r="AB2" s="1256"/>
      <c r="AC2" s="1256"/>
      <c r="AD2" s="1256"/>
      <c r="AE2" s="1256"/>
      <c r="AF2" s="1256"/>
      <c r="AG2" s="1256"/>
      <c r="AH2" s="1256"/>
      <c r="AI2" s="1256"/>
      <c r="AJ2" s="1256"/>
      <c r="AK2" s="1256"/>
      <c r="AL2" s="1256"/>
      <c r="AM2" s="1256"/>
      <c r="AN2" s="1256"/>
      <c r="AO2" s="1256"/>
      <c r="AP2" s="1256"/>
      <c r="AQ2" s="1256"/>
      <c r="AR2" s="1256"/>
      <c r="AS2" s="1256"/>
      <c r="AT2" s="1256"/>
      <c r="AU2" s="1256"/>
      <c r="AV2" s="1256"/>
      <c r="AW2" s="1256"/>
      <c r="AX2" s="1256"/>
      <c r="AY2" s="1256"/>
      <c r="AZ2" s="1256"/>
      <c r="BA2" s="1256"/>
    </row>
    <row r="3" spans="1:59" s="415" customFormat="1" ht="57" customHeight="1" thickBot="1">
      <c r="A3" s="1257" t="s">
        <v>0</v>
      </c>
      <c r="B3" s="1250" t="s">
        <v>164</v>
      </c>
      <c r="C3" s="1252"/>
      <c r="D3" s="1250" t="s">
        <v>165</v>
      </c>
      <c r="E3" s="1251"/>
      <c r="F3" s="1252" t="s">
        <v>166</v>
      </c>
      <c r="G3" s="1251"/>
      <c r="H3" s="1252" t="s">
        <v>167</v>
      </c>
      <c r="I3" s="1251"/>
      <c r="J3" s="1252" t="s">
        <v>168</v>
      </c>
      <c r="K3" s="1251"/>
      <c r="L3" s="1252" t="s">
        <v>169</v>
      </c>
      <c r="M3" s="1251"/>
      <c r="N3" s="1250" t="s">
        <v>371</v>
      </c>
      <c r="O3" s="1252"/>
      <c r="P3" s="1250" t="s">
        <v>171</v>
      </c>
      <c r="Q3" s="1251"/>
      <c r="R3" s="1250" t="s">
        <v>172</v>
      </c>
      <c r="S3" s="1251"/>
      <c r="T3" s="1250" t="s">
        <v>173</v>
      </c>
      <c r="U3" s="1251"/>
      <c r="V3" s="1208" t="s">
        <v>174</v>
      </c>
      <c r="W3" s="1212"/>
      <c r="X3" s="1250" t="s">
        <v>175</v>
      </c>
      <c r="Y3" s="1252"/>
      <c r="Z3" s="1250" t="s">
        <v>176</v>
      </c>
      <c r="AA3" s="1251"/>
      <c r="AB3" s="1250" t="s">
        <v>177</v>
      </c>
      <c r="AC3" s="1251"/>
      <c r="AD3" s="1253" t="s">
        <v>178</v>
      </c>
      <c r="AE3" s="1254"/>
      <c r="AF3" s="1250" t="s">
        <v>179</v>
      </c>
      <c r="AG3" s="1251"/>
      <c r="AH3" s="1250" t="s">
        <v>180</v>
      </c>
      <c r="AI3" s="1251"/>
      <c r="AJ3" s="1250" t="s">
        <v>181</v>
      </c>
      <c r="AK3" s="1251"/>
      <c r="AL3" s="1253" t="s">
        <v>182</v>
      </c>
      <c r="AM3" s="1254"/>
      <c r="AN3" s="1250" t="s">
        <v>183</v>
      </c>
      <c r="AO3" s="1252"/>
      <c r="AP3" s="1208" t="s">
        <v>184</v>
      </c>
      <c r="AQ3" s="1212"/>
      <c r="AR3" s="1208" t="s">
        <v>185</v>
      </c>
      <c r="AS3" s="1212"/>
      <c r="AT3" s="1208" t="s">
        <v>186</v>
      </c>
      <c r="AU3" s="1212"/>
      <c r="AV3" s="1208" t="s">
        <v>1</v>
      </c>
      <c r="AW3" s="1212"/>
      <c r="AX3" s="1210" t="s">
        <v>187</v>
      </c>
      <c r="AY3" s="1213"/>
      <c r="AZ3" s="1210" t="s">
        <v>2</v>
      </c>
      <c r="BA3" s="1211"/>
    </row>
    <row r="4" spans="1:59" s="475" customFormat="1" ht="15" customHeight="1" thickBot="1">
      <c r="A4" s="1258"/>
      <c r="B4" s="581" t="s">
        <v>295</v>
      </c>
      <c r="C4" s="547" t="s">
        <v>363</v>
      </c>
      <c r="D4" s="581" t="s">
        <v>295</v>
      </c>
      <c r="E4" s="537" t="s">
        <v>363</v>
      </c>
      <c r="F4" s="547" t="s">
        <v>295</v>
      </c>
      <c r="G4" s="547" t="s">
        <v>363</v>
      </c>
      <c r="H4" s="581" t="s">
        <v>295</v>
      </c>
      <c r="I4" s="537" t="s">
        <v>363</v>
      </c>
      <c r="J4" s="547" t="s">
        <v>295</v>
      </c>
      <c r="K4" s="547" t="s">
        <v>363</v>
      </c>
      <c r="L4" s="581" t="s">
        <v>295</v>
      </c>
      <c r="M4" s="537" t="s">
        <v>363</v>
      </c>
      <c r="N4" s="547" t="s">
        <v>295</v>
      </c>
      <c r="O4" s="547" t="s">
        <v>363</v>
      </c>
      <c r="P4" s="581" t="s">
        <v>295</v>
      </c>
      <c r="Q4" s="537" t="s">
        <v>363</v>
      </c>
      <c r="R4" s="581" t="s">
        <v>295</v>
      </c>
      <c r="S4" s="547" t="s">
        <v>363</v>
      </c>
      <c r="T4" s="581" t="s">
        <v>295</v>
      </c>
      <c r="U4" s="547" t="s">
        <v>363</v>
      </c>
      <c r="V4" s="581" t="s">
        <v>295</v>
      </c>
      <c r="W4" s="547" t="s">
        <v>363</v>
      </c>
      <c r="X4" s="581" t="s">
        <v>295</v>
      </c>
      <c r="Y4" s="547" t="s">
        <v>363</v>
      </c>
      <c r="Z4" s="581" t="s">
        <v>295</v>
      </c>
      <c r="AA4" s="547" t="s">
        <v>363</v>
      </c>
      <c r="AB4" s="581" t="s">
        <v>295</v>
      </c>
      <c r="AC4" s="547" t="s">
        <v>363</v>
      </c>
      <c r="AD4" s="581" t="s">
        <v>295</v>
      </c>
      <c r="AE4" s="547" t="s">
        <v>363</v>
      </c>
      <c r="AF4" s="581" t="s">
        <v>295</v>
      </c>
      <c r="AG4" s="547" t="s">
        <v>363</v>
      </c>
      <c r="AH4" s="581" t="s">
        <v>295</v>
      </c>
      <c r="AI4" s="547" t="s">
        <v>363</v>
      </c>
      <c r="AJ4" s="581" t="s">
        <v>295</v>
      </c>
      <c r="AK4" s="547" t="s">
        <v>363</v>
      </c>
      <c r="AL4" s="581" t="s">
        <v>295</v>
      </c>
      <c r="AM4" s="547" t="s">
        <v>363</v>
      </c>
      <c r="AN4" s="581" t="s">
        <v>295</v>
      </c>
      <c r="AO4" s="547" t="s">
        <v>363</v>
      </c>
      <c r="AP4" s="581" t="s">
        <v>295</v>
      </c>
      <c r="AQ4" s="537" t="s">
        <v>363</v>
      </c>
      <c r="AR4" s="581" t="s">
        <v>295</v>
      </c>
      <c r="AS4" s="547" t="s">
        <v>363</v>
      </c>
      <c r="AT4" s="581" t="s">
        <v>295</v>
      </c>
      <c r="AU4" s="547" t="s">
        <v>363</v>
      </c>
      <c r="AV4" s="581" t="s">
        <v>295</v>
      </c>
      <c r="AW4" s="547" t="s">
        <v>363</v>
      </c>
      <c r="AX4" s="581" t="s">
        <v>295</v>
      </c>
      <c r="AY4" s="547" t="s">
        <v>363</v>
      </c>
      <c r="AZ4" s="581" t="s">
        <v>295</v>
      </c>
      <c r="BA4" s="537" t="s">
        <v>363</v>
      </c>
    </row>
    <row r="5" spans="1:59" s="98" customFormat="1" ht="15" customHeight="1" thickBot="1">
      <c r="A5" s="174" t="s">
        <v>30</v>
      </c>
      <c r="B5" s="175"/>
      <c r="C5" s="182"/>
      <c r="D5" s="175"/>
      <c r="E5" s="177"/>
      <c r="F5" s="180"/>
      <c r="G5" s="179"/>
      <c r="H5" s="180"/>
      <c r="I5" s="179"/>
      <c r="J5" s="180"/>
      <c r="K5" s="179"/>
      <c r="L5" s="180"/>
      <c r="M5" s="179"/>
      <c r="N5" s="180"/>
      <c r="O5" s="184"/>
      <c r="P5" s="175"/>
      <c r="Q5" s="177"/>
      <c r="R5" s="175"/>
      <c r="S5" s="176"/>
      <c r="T5" s="175"/>
      <c r="U5" s="176"/>
      <c r="V5" s="183"/>
      <c r="W5" s="181"/>
      <c r="X5" s="175"/>
      <c r="Y5" s="176"/>
      <c r="Z5" s="175"/>
      <c r="AA5" s="176"/>
      <c r="AB5" s="175"/>
      <c r="AC5" s="176"/>
      <c r="AD5" s="175"/>
      <c r="AE5" s="176"/>
      <c r="AF5" s="175"/>
      <c r="AG5" s="176"/>
      <c r="AH5" s="175"/>
      <c r="AI5" s="176"/>
      <c r="AJ5" s="175"/>
      <c r="AK5" s="176"/>
      <c r="AL5" s="211"/>
      <c r="AM5" s="212"/>
      <c r="AN5" s="215"/>
      <c r="AO5" s="1049"/>
      <c r="AP5" s="183"/>
      <c r="AQ5" s="179"/>
      <c r="AR5" s="183"/>
      <c r="AS5" s="181"/>
      <c r="AT5" s="183"/>
      <c r="AU5" s="181"/>
      <c r="AV5" s="183"/>
      <c r="AW5" s="181"/>
      <c r="AX5" s="183"/>
      <c r="AY5" s="184"/>
      <c r="AZ5" s="183"/>
      <c r="BA5" s="179"/>
    </row>
    <row r="6" spans="1:59" s="98" customFormat="1" ht="14.25">
      <c r="A6" s="124" t="s">
        <v>31</v>
      </c>
      <c r="B6" s="130">
        <v>1661663</v>
      </c>
      <c r="C6" s="1002">
        <v>923594</v>
      </c>
      <c r="D6" s="99">
        <v>314294</v>
      </c>
      <c r="E6" s="101">
        <v>98493</v>
      </c>
      <c r="F6" s="132">
        <v>205501</v>
      </c>
      <c r="G6" s="105">
        <v>170126</v>
      </c>
      <c r="H6" s="132">
        <v>2890245</v>
      </c>
      <c r="I6" s="105">
        <v>1412170</v>
      </c>
      <c r="J6" s="132">
        <v>236092</v>
      </c>
      <c r="K6" s="105">
        <v>248931</v>
      </c>
      <c r="L6" s="132">
        <v>540502</v>
      </c>
      <c r="M6" s="105">
        <v>327014</v>
      </c>
      <c r="N6" s="132">
        <v>851914</v>
      </c>
      <c r="O6" s="114">
        <v>305852</v>
      </c>
      <c r="P6" s="99">
        <v>125650</v>
      </c>
      <c r="Q6" s="101">
        <v>169692</v>
      </c>
      <c r="R6" s="99">
        <v>689254</v>
      </c>
      <c r="S6" s="100"/>
      <c r="T6" s="99">
        <v>343407</v>
      </c>
      <c r="U6" s="100">
        <v>210190</v>
      </c>
      <c r="V6" s="103">
        <v>5191251</v>
      </c>
      <c r="W6" s="104">
        <v>2315807</v>
      </c>
      <c r="X6" s="99">
        <v>4235881</v>
      </c>
      <c r="Y6" s="100">
        <v>3554968</v>
      </c>
      <c r="Z6" s="106">
        <v>166409</v>
      </c>
      <c r="AA6" s="107">
        <v>131504</v>
      </c>
      <c r="AB6" s="99">
        <v>856397</v>
      </c>
      <c r="AC6" s="100">
        <v>506781</v>
      </c>
      <c r="AD6" s="99">
        <v>1895789</v>
      </c>
      <c r="AE6" s="100">
        <v>1258214</v>
      </c>
      <c r="AF6" s="99">
        <v>2163200</v>
      </c>
      <c r="AG6" s="100">
        <v>1751012</v>
      </c>
      <c r="AH6" s="99">
        <v>1114497</v>
      </c>
      <c r="AI6" s="100">
        <v>1064274</v>
      </c>
      <c r="AJ6" s="99">
        <v>448066</v>
      </c>
      <c r="AK6" s="100">
        <v>263886</v>
      </c>
      <c r="AL6" s="108"/>
      <c r="AM6" s="100"/>
      <c r="AN6" s="216">
        <v>4716124</v>
      </c>
      <c r="AO6" s="1050">
        <v>3689895</v>
      </c>
      <c r="AP6" s="493">
        <v>614649</v>
      </c>
      <c r="AQ6" s="838">
        <v>247160</v>
      </c>
      <c r="AR6" s="119">
        <v>387847</v>
      </c>
      <c r="AS6" s="120">
        <v>274774</v>
      </c>
      <c r="AT6" s="103">
        <v>624278</v>
      </c>
      <c r="AU6" s="104">
        <v>929052</v>
      </c>
      <c r="AV6" s="122">
        <f t="shared" ref="AV6:AW8" si="0">SUM(B6+D6+F6+H6+J6+L6+N6+P6+R6+T6+V6+X6+Z6+AB6+AD6+AF6+AH6+AJ6+AL6+AN6+AP6+AR6+AT6)</f>
        <v>30272910</v>
      </c>
      <c r="AW6" s="133">
        <f t="shared" si="0"/>
        <v>19853389</v>
      </c>
      <c r="AX6" s="119">
        <v>39423726</v>
      </c>
      <c r="AY6" s="1052">
        <v>31518659</v>
      </c>
      <c r="AZ6" s="122">
        <f t="shared" ref="AZ6:BA8" si="1">AV6+AX6</f>
        <v>69696636</v>
      </c>
      <c r="BA6" s="135">
        <f t="shared" si="1"/>
        <v>51372048</v>
      </c>
    </row>
    <row r="7" spans="1:59" s="98" customFormat="1" ht="14.25">
      <c r="A7" s="124" t="s">
        <v>32</v>
      </c>
      <c r="B7" s="130">
        <v>1568906</v>
      </c>
      <c r="C7" s="1002">
        <v>1787011</v>
      </c>
      <c r="D7" s="99">
        <v>128587</v>
      </c>
      <c r="E7" s="101">
        <v>31758</v>
      </c>
      <c r="F7" s="132">
        <v>306259</v>
      </c>
      <c r="G7" s="105">
        <v>410755</v>
      </c>
      <c r="H7" s="132">
        <v>1912079</v>
      </c>
      <c r="I7" s="105">
        <v>1834606</v>
      </c>
      <c r="J7" s="132">
        <v>75461</v>
      </c>
      <c r="K7" s="105">
        <v>106952</v>
      </c>
      <c r="L7" s="132">
        <v>34334</v>
      </c>
      <c r="M7" s="105">
        <v>104289</v>
      </c>
      <c r="N7" s="132">
        <v>12264</v>
      </c>
      <c r="O7" s="114">
        <v>6978</v>
      </c>
      <c r="P7" s="99"/>
      <c r="Q7" s="101"/>
      <c r="R7" s="99">
        <v>962096</v>
      </c>
      <c r="S7" s="100"/>
      <c r="T7" s="99">
        <v>76436</v>
      </c>
      <c r="U7" s="100">
        <v>74151</v>
      </c>
      <c r="V7" s="103">
        <v>6675571</v>
      </c>
      <c r="W7" s="104">
        <v>8201447</v>
      </c>
      <c r="X7" s="99">
        <v>3639195</v>
      </c>
      <c r="Y7" s="100">
        <v>4265713</v>
      </c>
      <c r="Z7" s="106">
        <v>235736</v>
      </c>
      <c r="AA7" s="107">
        <v>470567</v>
      </c>
      <c r="AB7" s="99">
        <v>41857</v>
      </c>
      <c r="AC7" s="100">
        <v>261508</v>
      </c>
      <c r="AD7" s="99">
        <v>1943662</v>
      </c>
      <c r="AE7" s="100">
        <v>3816499</v>
      </c>
      <c r="AF7" s="99">
        <v>3208985</v>
      </c>
      <c r="AG7" s="100">
        <v>1906604</v>
      </c>
      <c r="AH7" s="99">
        <v>324792</v>
      </c>
      <c r="AI7" s="100">
        <v>312684</v>
      </c>
      <c r="AJ7" s="99">
        <v>1074603</v>
      </c>
      <c r="AK7" s="100">
        <v>1688160</v>
      </c>
      <c r="AL7" s="108"/>
      <c r="AM7" s="100"/>
      <c r="AN7" s="217">
        <v>2504626</v>
      </c>
      <c r="AO7" s="186">
        <v>2983020</v>
      </c>
      <c r="AP7" s="493">
        <v>230853</v>
      </c>
      <c r="AQ7" s="838">
        <v>165880</v>
      </c>
      <c r="AR7" s="119">
        <v>160315</v>
      </c>
      <c r="AS7" s="120">
        <v>248239</v>
      </c>
      <c r="AT7" s="103">
        <v>1133534</v>
      </c>
      <c r="AU7" s="104">
        <v>1065263</v>
      </c>
      <c r="AV7" s="122">
        <f t="shared" si="0"/>
        <v>26250151</v>
      </c>
      <c r="AW7" s="133">
        <f t="shared" si="0"/>
        <v>29742084</v>
      </c>
      <c r="AX7" s="119">
        <v>248632674</v>
      </c>
      <c r="AY7" s="1052">
        <v>271779404</v>
      </c>
      <c r="AZ7" s="122">
        <f t="shared" si="1"/>
        <v>274882825</v>
      </c>
      <c r="BA7" s="135">
        <f t="shared" si="1"/>
        <v>301521488</v>
      </c>
    </row>
    <row r="8" spans="1:59" s="98" customFormat="1" ht="14.25">
      <c r="A8" s="124" t="s">
        <v>33</v>
      </c>
      <c r="B8" s="130">
        <v>21931</v>
      </c>
      <c r="C8" s="1002">
        <v>35300</v>
      </c>
      <c r="D8" s="99">
        <v>32</v>
      </c>
      <c r="E8" s="101">
        <v>32</v>
      </c>
      <c r="F8" s="132">
        <v>312591</v>
      </c>
      <c r="G8" s="105">
        <v>77322</v>
      </c>
      <c r="H8" s="132">
        <v>40858</v>
      </c>
      <c r="I8" s="105">
        <v>42418</v>
      </c>
      <c r="J8" s="132"/>
      <c r="K8" s="105"/>
      <c r="L8" s="132">
        <v>13046</v>
      </c>
      <c r="M8" s="105">
        <v>29086</v>
      </c>
      <c r="N8" s="132"/>
      <c r="O8" s="114"/>
      <c r="P8" s="99">
        <v>3815</v>
      </c>
      <c r="Q8" s="101">
        <v>4048</v>
      </c>
      <c r="R8" s="99">
        <v>9718</v>
      </c>
      <c r="S8" s="100"/>
      <c r="T8" s="99">
        <v>961</v>
      </c>
      <c r="U8" s="100">
        <v>1148</v>
      </c>
      <c r="V8" s="103">
        <v>566254</v>
      </c>
      <c r="W8" s="104">
        <v>857012</v>
      </c>
      <c r="X8" s="99">
        <v>507958</v>
      </c>
      <c r="Y8" s="100">
        <v>665937</v>
      </c>
      <c r="Z8" s="106"/>
      <c r="AA8" s="107">
        <v>878</v>
      </c>
      <c r="AB8" s="99">
        <v>217</v>
      </c>
      <c r="AC8" s="100">
        <v>313</v>
      </c>
      <c r="AD8" s="99">
        <v>19969</v>
      </c>
      <c r="AE8" s="100">
        <v>48445</v>
      </c>
      <c r="AF8" s="99">
        <v>19342</v>
      </c>
      <c r="AG8" s="100">
        <v>31910</v>
      </c>
      <c r="AH8" s="99">
        <v>34950</v>
      </c>
      <c r="AI8" s="100">
        <v>38660</v>
      </c>
      <c r="AJ8" s="99">
        <v>9632</v>
      </c>
      <c r="AK8" s="100">
        <v>12932</v>
      </c>
      <c r="AL8" s="108"/>
      <c r="AM8" s="100"/>
      <c r="AN8" s="217">
        <v>490558</v>
      </c>
      <c r="AO8" s="186">
        <v>710175</v>
      </c>
      <c r="AP8" s="493">
        <v>675</v>
      </c>
      <c r="AQ8" s="838">
        <v>1126</v>
      </c>
      <c r="AR8" s="119">
        <v>23125</v>
      </c>
      <c r="AS8" s="120">
        <v>32285</v>
      </c>
      <c r="AT8" s="103">
        <v>8311</v>
      </c>
      <c r="AU8" s="104">
        <v>25938</v>
      </c>
      <c r="AV8" s="122">
        <f t="shared" si="0"/>
        <v>2083943</v>
      </c>
      <c r="AW8" s="133">
        <f t="shared" si="0"/>
        <v>2614965</v>
      </c>
      <c r="AX8" s="119">
        <v>29534567</v>
      </c>
      <c r="AY8" s="1052">
        <v>33491863</v>
      </c>
      <c r="AZ8" s="122">
        <f t="shared" si="1"/>
        <v>31618510</v>
      </c>
      <c r="BA8" s="135">
        <f t="shared" si="1"/>
        <v>36106828</v>
      </c>
    </row>
    <row r="9" spans="1:59" s="98" customFormat="1" ht="14.25">
      <c r="A9" s="124" t="s">
        <v>34</v>
      </c>
      <c r="B9" s="130"/>
      <c r="C9" s="1002"/>
      <c r="D9" s="99"/>
      <c r="E9" s="101"/>
      <c r="F9" s="132"/>
      <c r="G9" s="105"/>
      <c r="H9" s="132"/>
      <c r="I9" s="105"/>
      <c r="J9" s="132"/>
      <c r="K9" s="105"/>
      <c r="L9" s="132"/>
      <c r="M9" s="105"/>
      <c r="N9" s="132"/>
      <c r="O9" s="114"/>
      <c r="P9" s="99"/>
      <c r="Q9" s="101"/>
      <c r="R9" s="99"/>
      <c r="S9" s="100"/>
      <c r="T9" s="99"/>
      <c r="U9" s="100"/>
      <c r="V9" s="103"/>
      <c r="W9" s="115"/>
      <c r="X9" s="99"/>
      <c r="Y9" s="100"/>
      <c r="Z9" s="106"/>
      <c r="AA9" s="107"/>
      <c r="AB9" s="99"/>
      <c r="AC9" s="100"/>
      <c r="AD9" s="99"/>
      <c r="AE9" s="100"/>
      <c r="AF9" s="99"/>
      <c r="AG9" s="100"/>
      <c r="AH9" s="99"/>
      <c r="AI9" s="100"/>
      <c r="AJ9" s="99"/>
      <c r="AK9" s="100"/>
      <c r="AL9" s="108"/>
      <c r="AM9" s="100"/>
      <c r="AN9" s="103"/>
      <c r="AO9" s="114"/>
      <c r="AP9" s="493"/>
      <c r="AQ9" s="838"/>
      <c r="AR9" s="119"/>
      <c r="AS9" s="120">
        <v>8033</v>
      </c>
      <c r="AT9" s="103"/>
      <c r="AU9" s="104"/>
      <c r="AV9" s="122"/>
      <c r="AW9" s="133"/>
      <c r="AX9" s="119"/>
      <c r="AY9" s="1052"/>
      <c r="AZ9" s="122"/>
      <c r="BA9" s="135"/>
    </row>
    <row r="10" spans="1:59" s="98" customFormat="1" ht="14.25">
      <c r="A10" s="124" t="s">
        <v>35</v>
      </c>
      <c r="B10" s="138">
        <v>169869</v>
      </c>
      <c r="C10" s="1042">
        <v>133758</v>
      </c>
      <c r="D10" s="110">
        <v>77637</v>
      </c>
      <c r="E10" s="1015">
        <v>15604</v>
      </c>
      <c r="F10" s="133">
        <v>54736</v>
      </c>
      <c r="G10" s="127">
        <v>64513</v>
      </c>
      <c r="H10" s="133">
        <v>348128</v>
      </c>
      <c r="I10" s="127">
        <v>588796</v>
      </c>
      <c r="J10" s="133">
        <v>52271</v>
      </c>
      <c r="K10" s="127">
        <v>185548</v>
      </c>
      <c r="L10" s="133">
        <v>44071</v>
      </c>
      <c r="M10" s="127">
        <v>44507</v>
      </c>
      <c r="N10" s="133">
        <v>7403</v>
      </c>
      <c r="O10" s="128">
        <v>8757</v>
      </c>
      <c r="P10" s="110">
        <v>8192</v>
      </c>
      <c r="Q10" s="1015">
        <v>8473</v>
      </c>
      <c r="R10" s="110"/>
      <c r="S10" s="112"/>
      <c r="T10" s="110">
        <v>25464</v>
      </c>
      <c r="U10" s="112">
        <v>32123</v>
      </c>
      <c r="V10" s="103">
        <v>69891</v>
      </c>
      <c r="W10" s="126">
        <v>106884</v>
      </c>
      <c r="X10" s="110">
        <v>511565</v>
      </c>
      <c r="Y10" s="112">
        <v>555960</v>
      </c>
      <c r="Z10" s="106">
        <v>199588</v>
      </c>
      <c r="AA10" s="107">
        <v>347163</v>
      </c>
      <c r="AB10" s="110">
        <v>45913</v>
      </c>
      <c r="AC10" s="112">
        <v>152570</v>
      </c>
      <c r="AD10" s="139">
        <v>120035</v>
      </c>
      <c r="AE10" s="140">
        <v>280509</v>
      </c>
      <c r="AF10" s="110">
        <v>275443</v>
      </c>
      <c r="AG10" s="112">
        <v>324929</v>
      </c>
      <c r="AH10" s="110">
        <v>565050</v>
      </c>
      <c r="AI10" s="112">
        <v>642221</v>
      </c>
      <c r="AJ10" s="110">
        <v>972911</v>
      </c>
      <c r="AK10" s="112">
        <v>1137707</v>
      </c>
      <c r="AL10" s="108"/>
      <c r="AM10" s="100"/>
      <c r="AN10" s="217">
        <v>1277037</v>
      </c>
      <c r="AO10" s="186">
        <v>2243188</v>
      </c>
      <c r="AP10" s="493">
        <v>66156</v>
      </c>
      <c r="AQ10" s="838">
        <v>85196</v>
      </c>
      <c r="AR10" s="119">
        <v>89157</v>
      </c>
      <c r="AS10" s="120">
        <v>91102</v>
      </c>
      <c r="AT10" s="122">
        <f>526341+479792</f>
        <v>1006133</v>
      </c>
      <c r="AU10" s="126">
        <f>508346+624159</f>
        <v>1132505</v>
      </c>
      <c r="AV10" s="122">
        <f t="shared" ref="AV10:AW15" si="2">SUM(B10+D10+F10+H10+J10+L10+N10+P10+R10+T10+V10+X10+Z10+AB10+AD10+AF10+AH10+AJ10+AL10+AN10+AP10+AR10+AT10)</f>
        <v>5986650</v>
      </c>
      <c r="AW10" s="133">
        <f t="shared" si="2"/>
        <v>8182013</v>
      </c>
      <c r="AX10" s="122"/>
      <c r="AY10" s="128"/>
      <c r="AZ10" s="122">
        <f t="shared" ref="AZ10:BA15" si="3">AV10+AX10</f>
        <v>5986650</v>
      </c>
      <c r="BA10" s="135">
        <f t="shared" si="3"/>
        <v>8182013</v>
      </c>
    </row>
    <row r="11" spans="1:59" s="98" customFormat="1" ht="14.25">
      <c r="A11" s="124" t="s">
        <v>36</v>
      </c>
      <c r="B11" s="130">
        <v>11283450</v>
      </c>
      <c r="C11" s="1002">
        <v>3353054</v>
      </c>
      <c r="D11" s="99">
        <v>367717</v>
      </c>
      <c r="E11" s="101">
        <v>175036</v>
      </c>
      <c r="F11" s="132">
        <v>1619997</v>
      </c>
      <c r="G11" s="105">
        <v>479326</v>
      </c>
      <c r="H11" s="132">
        <v>7475406</v>
      </c>
      <c r="I11" s="105">
        <v>3499896</v>
      </c>
      <c r="J11" s="132">
        <v>569616</v>
      </c>
      <c r="K11" s="105">
        <v>186862</v>
      </c>
      <c r="L11" s="132">
        <v>2247360</v>
      </c>
      <c r="M11" s="105">
        <v>3054620</v>
      </c>
      <c r="N11" s="132">
        <v>340640</v>
      </c>
      <c r="O11" s="114">
        <v>179438</v>
      </c>
      <c r="P11" s="99">
        <v>39015</v>
      </c>
      <c r="Q11" s="101">
        <v>70402</v>
      </c>
      <c r="R11" s="99">
        <v>1586876</v>
      </c>
      <c r="S11" s="100"/>
      <c r="T11" s="99">
        <v>450663</v>
      </c>
      <c r="U11" s="100">
        <v>179108</v>
      </c>
      <c r="V11" s="103">
        <v>15025781</v>
      </c>
      <c r="W11" s="104">
        <v>5603793</v>
      </c>
      <c r="X11" s="99">
        <v>28487041</v>
      </c>
      <c r="Y11" s="100">
        <v>17957827</v>
      </c>
      <c r="Z11" s="99">
        <v>409866</v>
      </c>
      <c r="AA11" s="100">
        <v>306214</v>
      </c>
      <c r="AB11" s="99">
        <v>9735546</v>
      </c>
      <c r="AC11" s="100">
        <v>2222641</v>
      </c>
      <c r="AD11" s="99">
        <v>2742871</v>
      </c>
      <c r="AE11" s="100">
        <v>1126335</v>
      </c>
      <c r="AF11" s="99">
        <v>9013783</v>
      </c>
      <c r="AG11" s="100">
        <v>4115331</v>
      </c>
      <c r="AH11" s="99">
        <v>3781704</v>
      </c>
      <c r="AI11" s="100">
        <v>2648663</v>
      </c>
      <c r="AJ11" s="99">
        <v>3978821</v>
      </c>
      <c r="AK11" s="100">
        <v>1398724</v>
      </c>
      <c r="AL11" s="108"/>
      <c r="AM11" s="100"/>
      <c r="AN11" s="217">
        <v>8758720</v>
      </c>
      <c r="AO11" s="186">
        <v>4738034</v>
      </c>
      <c r="AP11" s="493">
        <v>320819</v>
      </c>
      <c r="AQ11" s="838">
        <v>81829</v>
      </c>
      <c r="AR11" s="119">
        <v>1184496</v>
      </c>
      <c r="AS11" s="120">
        <v>1080227</v>
      </c>
      <c r="AT11" s="103">
        <v>2126121</v>
      </c>
      <c r="AU11" s="104">
        <v>782587</v>
      </c>
      <c r="AV11" s="122">
        <f t="shared" si="2"/>
        <v>111546309</v>
      </c>
      <c r="AW11" s="133">
        <f t="shared" si="2"/>
        <v>53239947</v>
      </c>
      <c r="AX11" s="119">
        <v>149049794</v>
      </c>
      <c r="AY11" s="1052">
        <v>136832415</v>
      </c>
      <c r="AZ11" s="122">
        <f t="shared" si="3"/>
        <v>260596103</v>
      </c>
      <c r="BA11" s="135">
        <f t="shared" si="3"/>
        <v>190072362</v>
      </c>
      <c r="BF11" s="169"/>
      <c r="BG11" s="169"/>
    </row>
    <row r="12" spans="1:59" s="98" customFormat="1" ht="14.25">
      <c r="A12" s="124" t="s">
        <v>37</v>
      </c>
      <c r="B12" s="130"/>
      <c r="C12" s="1002"/>
      <c r="D12" s="99"/>
      <c r="E12" s="101"/>
      <c r="F12" s="132"/>
      <c r="G12" s="105"/>
      <c r="H12" s="132"/>
      <c r="I12" s="105"/>
      <c r="J12" s="132"/>
      <c r="K12" s="105"/>
      <c r="L12" s="132"/>
      <c r="M12" s="105"/>
      <c r="N12" s="132"/>
      <c r="O12" s="114"/>
      <c r="P12" s="99"/>
      <c r="Q12" s="101"/>
      <c r="R12" s="99"/>
      <c r="S12" s="100"/>
      <c r="T12" s="99"/>
      <c r="U12" s="100"/>
      <c r="V12" s="103">
        <v>3906422</v>
      </c>
      <c r="W12" s="104">
        <v>5955864</v>
      </c>
      <c r="X12" s="99"/>
      <c r="Y12" s="100"/>
      <c r="Z12" s="99"/>
      <c r="AA12" s="100"/>
      <c r="AB12" s="99"/>
      <c r="AC12" s="100"/>
      <c r="AD12" s="99">
        <v>78886</v>
      </c>
      <c r="AE12" s="100">
        <v>176442</v>
      </c>
      <c r="AF12" s="99"/>
      <c r="AG12" s="100"/>
      <c r="AH12" s="99"/>
      <c r="AI12" s="100"/>
      <c r="AJ12" s="99"/>
      <c r="AK12" s="100"/>
      <c r="AL12" s="108"/>
      <c r="AM12" s="100"/>
      <c r="AN12" s="217">
        <v>1921336</v>
      </c>
      <c r="AO12" s="186">
        <v>2792920</v>
      </c>
      <c r="AP12" s="493"/>
      <c r="AQ12" s="838"/>
      <c r="AR12" s="119"/>
      <c r="AS12" s="120"/>
      <c r="AT12" s="103"/>
      <c r="AU12" s="104"/>
      <c r="AV12" s="122">
        <f t="shared" si="2"/>
        <v>5906644</v>
      </c>
      <c r="AW12" s="133">
        <f t="shared" si="2"/>
        <v>8925226</v>
      </c>
      <c r="AX12" s="119"/>
      <c r="AY12" s="1052"/>
      <c r="AZ12" s="122">
        <f t="shared" si="3"/>
        <v>5906644</v>
      </c>
      <c r="BA12" s="135">
        <f t="shared" si="3"/>
        <v>8925226</v>
      </c>
    </row>
    <row r="13" spans="1:59" s="98" customFormat="1" ht="14.25">
      <c r="A13" s="124" t="s">
        <v>38</v>
      </c>
      <c r="B13" s="130"/>
      <c r="C13" s="1002"/>
      <c r="D13" s="99">
        <v>12237</v>
      </c>
      <c r="E13" s="101">
        <v>4858</v>
      </c>
      <c r="F13" s="132"/>
      <c r="G13" s="105"/>
      <c r="H13" s="132"/>
      <c r="I13" s="105"/>
      <c r="J13" s="132"/>
      <c r="K13" s="105"/>
      <c r="L13" s="132">
        <v>733697</v>
      </c>
      <c r="M13" s="105">
        <v>272186</v>
      </c>
      <c r="N13" s="132"/>
      <c r="O13" s="114"/>
      <c r="P13" s="99">
        <v>20008</v>
      </c>
      <c r="Q13" s="101">
        <v>45892</v>
      </c>
      <c r="R13" s="99"/>
      <c r="S13" s="100"/>
      <c r="T13" s="99">
        <v>31080</v>
      </c>
      <c r="U13" s="100">
        <v>10578</v>
      </c>
      <c r="V13" s="103">
        <v>3704146</v>
      </c>
      <c r="W13" s="104">
        <v>3830299</v>
      </c>
      <c r="X13" s="99"/>
      <c r="Y13" s="100"/>
      <c r="Z13" s="99"/>
      <c r="AA13" s="100"/>
      <c r="AB13" s="99"/>
      <c r="AC13" s="100"/>
      <c r="AD13" s="99"/>
      <c r="AE13" s="100"/>
      <c r="AF13" s="99"/>
      <c r="AG13" s="100"/>
      <c r="AH13" s="99"/>
      <c r="AI13" s="100"/>
      <c r="AJ13" s="99"/>
      <c r="AK13" s="100"/>
      <c r="AL13" s="108"/>
      <c r="AM13" s="100"/>
      <c r="AN13" s="217">
        <v>9280565</v>
      </c>
      <c r="AO13" s="186">
        <v>11644317</v>
      </c>
      <c r="AP13" s="493">
        <v>2545</v>
      </c>
      <c r="AQ13" s="838"/>
      <c r="AR13" s="119"/>
      <c r="AS13" s="120"/>
      <c r="AT13" s="103"/>
      <c r="AU13" s="104"/>
      <c r="AV13" s="122">
        <f t="shared" si="2"/>
        <v>13784278</v>
      </c>
      <c r="AW13" s="133">
        <f t="shared" si="2"/>
        <v>15808130</v>
      </c>
      <c r="AX13" s="119"/>
      <c r="AY13" s="1052"/>
      <c r="AZ13" s="122">
        <f t="shared" si="3"/>
        <v>13784278</v>
      </c>
      <c r="BA13" s="135">
        <f t="shared" si="3"/>
        <v>15808130</v>
      </c>
    </row>
    <row r="14" spans="1:59" s="98" customFormat="1" ht="14.25">
      <c r="A14" s="124" t="s">
        <v>39</v>
      </c>
      <c r="B14" s="138">
        <v>21015</v>
      </c>
      <c r="C14" s="1042">
        <v>10387</v>
      </c>
      <c r="D14" s="110">
        <v>28754</v>
      </c>
      <c r="E14" s="1015">
        <v>4466</v>
      </c>
      <c r="F14" s="133">
        <v>2120</v>
      </c>
      <c r="G14" s="127">
        <v>-82</v>
      </c>
      <c r="H14" s="133">
        <v>46801</v>
      </c>
      <c r="I14" s="127">
        <v>52847</v>
      </c>
      <c r="J14" s="133">
        <v>5594</v>
      </c>
      <c r="K14" s="127">
        <v>6180</v>
      </c>
      <c r="L14" s="133"/>
      <c r="M14" s="127"/>
      <c r="N14" s="133"/>
      <c r="O14" s="128"/>
      <c r="P14" s="110"/>
      <c r="Q14" s="1015"/>
      <c r="R14" s="110"/>
      <c r="S14" s="112"/>
      <c r="T14" s="110"/>
      <c r="U14" s="112"/>
      <c r="V14" s="122"/>
      <c r="W14" s="126"/>
      <c r="X14" s="110">
        <v>15038</v>
      </c>
      <c r="Y14" s="112">
        <v>7502</v>
      </c>
      <c r="Z14" s="106">
        <v>2191</v>
      </c>
      <c r="AA14" s="107">
        <v>1618</v>
      </c>
      <c r="AB14" s="110"/>
      <c r="AC14" s="112"/>
      <c r="AD14" s="139">
        <v>2875</v>
      </c>
      <c r="AE14" s="140">
        <v>2784</v>
      </c>
      <c r="AF14" s="110"/>
      <c r="AG14" s="112"/>
      <c r="AH14" s="110"/>
      <c r="AI14" s="112"/>
      <c r="AJ14" s="110">
        <v>615</v>
      </c>
      <c r="AK14" s="112">
        <v>775</v>
      </c>
      <c r="AL14" s="108"/>
      <c r="AM14" s="100"/>
      <c r="AN14" s="217">
        <v>19532</v>
      </c>
      <c r="AO14" s="186">
        <v>14555</v>
      </c>
      <c r="AP14" s="493">
        <v>21679</v>
      </c>
      <c r="AQ14" s="838">
        <v>3789</v>
      </c>
      <c r="AR14" s="119">
        <v>-250</v>
      </c>
      <c r="AS14" s="120"/>
      <c r="AT14" s="122"/>
      <c r="AU14" s="126"/>
      <c r="AV14" s="122">
        <f t="shared" si="2"/>
        <v>165964</v>
      </c>
      <c r="AW14" s="133">
        <f t="shared" si="2"/>
        <v>104821</v>
      </c>
      <c r="AX14" s="122"/>
      <c r="AY14" s="128"/>
      <c r="AZ14" s="122">
        <f t="shared" si="3"/>
        <v>165964</v>
      </c>
      <c r="BA14" s="135">
        <f t="shared" si="3"/>
        <v>104821</v>
      </c>
    </row>
    <row r="15" spans="1:59" s="98" customFormat="1" ht="14.25">
      <c r="A15" s="124" t="s">
        <v>40</v>
      </c>
      <c r="B15" s="130">
        <v>1484</v>
      </c>
      <c r="C15" s="1002">
        <v>-966</v>
      </c>
      <c r="D15" s="99">
        <v>2351</v>
      </c>
      <c r="E15" s="101">
        <v>-96</v>
      </c>
      <c r="F15" s="132">
        <v>4500</v>
      </c>
      <c r="G15" s="105">
        <v>1500</v>
      </c>
      <c r="H15" s="132">
        <v>24224</v>
      </c>
      <c r="I15" s="105">
        <v>4725</v>
      </c>
      <c r="J15" s="132">
        <v>1184</v>
      </c>
      <c r="K15" s="105">
        <v>2377</v>
      </c>
      <c r="L15" s="132"/>
      <c r="M15" s="105">
        <v>2500</v>
      </c>
      <c r="N15" s="132">
        <v>100</v>
      </c>
      <c r="O15" s="114">
        <v>200</v>
      </c>
      <c r="P15" s="99">
        <v>5500</v>
      </c>
      <c r="Q15" s="101"/>
      <c r="R15" s="99"/>
      <c r="S15" s="100"/>
      <c r="T15" s="99">
        <v>1000</v>
      </c>
      <c r="U15" s="100">
        <v>240</v>
      </c>
      <c r="V15" s="103">
        <v>75927</v>
      </c>
      <c r="W15" s="104">
        <v>36109</v>
      </c>
      <c r="X15" s="99">
        <v>278625</v>
      </c>
      <c r="Y15" s="100">
        <v>140262</v>
      </c>
      <c r="Z15" s="106"/>
      <c r="AA15" s="107"/>
      <c r="AB15" s="99">
        <v>4260</v>
      </c>
      <c r="AC15" s="100">
        <v>1832</v>
      </c>
      <c r="AD15" s="99"/>
      <c r="AE15" s="100"/>
      <c r="AF15" s="99">
        <v>10354</v>
      </c>
      <c r="AG15" s="100">
        <v>19597</v>
      </c>
      <c r="AH15" s="99">
        <v>15147</v>
      </c>
      <c r="AI15" s="100">
        <v>9772</v>
      </c>
      <c r="AJ15" s="99">
        <v>6810</v>
      </c>
      <c r="AK15" s="100">
        <v>1838</v>
      </c>
      <c r="AL15" s="108"/>
      <c r="AM15" s="100"/>
      <c r="AN15" s="217">
        <v>4217</v>
      </c>
      <c r="AO15" s="186">
        <v>2540</v>
      </c>
      <c r="AP15" s="493"/>
      <c r="AQ15" s="838"/>
      <c r="AR15" s="119">
        <v>21488</v>
      </c>
      <c r="AS15" s="120"/>
      <c r="AT15" s="103">
        <v>518</v>
      </c>
      <c r="AU15" s="104">
        <v>475</v>
      </c>
      <c r="AV15" s="122">
        <f t="shared" si="2"/>
        <v>457689</v>
      </c>
      <c r="AW15" s="133">
        <f t="shared" si="2"/>
        <v>222905</v>
      </c>
      <c r="AX15" s="103">
        <f>23273+41932+26788+5419+9966</f>
        <v>107378</v>
      </c>
      <c r="AY15" s="114">
        <f>14694+15372+14910+2354</f>
        <v>47330</v>
      </c>
      <c r="AZ15" s="122">
        <f t="shared" si="3"/>
        <v>565067</v>
      </c>
      <c r="BA15" s="135">
        <f t="shared" si="3"/>
        <v>270235</v>
      </c>
    </row>
    <row r="16" spans="1:59" s="98" customFormat="1" ht="14.25">
      <c r="A16" s="124" t="s">
        <v>41</v>
      </c>
      <c r="B16" s="130"/>
      <c r="C16" s="1002"/>
      <c r="D16" s="99">
        <v>6082</v>
      </c>
      <c r="E16" s="101">
        <v>2659</v>
      </c>
      <c r="F16" s="132">
        <v>32718</v>
      </c>
      <c r="G16" s="105">
        <v>23082</v>
      </c>
      <c r="H16" s="132"/>
      <c r="I16" s="105"/>
      <c r="J16" s="132"/>
      <c r="K16" s="105"/>
      <c r="L16" s="132"/>
      <c r="M16" s="105"/>
      <c r="N16" s="132"/>
      <c r="O16" s="114"/>
      <c r="P16" s="99"/>
      <c r="Q16" s="101"/>
      <c r="R16" s="99"/>
      <c r="S16" s="100"/>
      <c r="T16" s="99"/>
      <c r="U16" s="100"/>
      <c r="V16" s="103"/>
      <c r="W16" s="104"/>
      <c r="X16" s="99"/>
      <c r="Y16" s="100"/>
      <c r="Z16" s="106"/>
      <c r="AA16" s="107"/>
      <c r="AB16" s="99"/>
      <c r="AC16" s="100"/>
      <c r="AD16" s="99"/>
      <c r="AE16" s="100"/>
      <c r="AF16" s="99"/>
      <c r="AG16" s="100"/>
      <c r="AH16" s="99"/>
      <c r="AI16" s="100"/>
      <c r="AJ16" s="99"/>
      <c r="AK16" s="100"/>
      <c r="AL16" s="108"/>
      <c r="AM16" s="100"/>
      <c r="AN16" s="217"/>
      <c r="AO16" s="186"/>
      <c r="AP16" s="493"/>
      <c r="AQ16" s="838"/>
      <c r="AR16" s="119"/>
      <c r="AS16" s="120"/>
      <c r="AT16" s="103"/>
      <c r="AU16" s="104"/>
      <c r="AV16" s="122"/>
      <c r="AW16" s="133"/>
      <c r="AX16" s="103"/>
      <c r="AY16" s="114">
        <v>9187</v>
      </c>
      <c r="AZ16" s="122">
        <f t="shared" ref="AZ16:AZ22" si="4">AV16+AX16</f>
        <v>0</v>
      </c>
      <c r="BA16" s="135"/>
    </row>
    <row r="17" spans="1:53" s="98" customFormat="1" ht="14.25">
      <c r="A17" s="124" t="s">
        <v>42</v>
      </c>
      <c r="B17" s="130"/>
      <c r="C17" s="1002"/>
      <c r="D17" s="99"/>
      <c r="E17" s="101"/>
      <c r="F17" s="132"/>
      <c r="G17" s="105"/>
      <c r="H17" s="132"/>
      <c r="I17" s="105"/>
      <c r="J17" s="132"/>
      <c r="K17" s="105"/>
      <c r="L17" s="132"/>
      <c r="M17" s="105"/>
      <c r="N17" s="132"/>
      <c r="O17" s="114"/>
      <c r="P17" s="99">
        <v>-330</v>
      </c>
      <c r="Q17" s="101"/>
      <c r="R17" s="99"/>
      <c r="S17" s="100"/>
      <c r="T17" s="99"/>
      <c r="U17" s="100"/>
      <c r="V17" s="103"/>
      <c r="W17" s="104"/>
      <c r="X17" s="99"/>
      <c r="Y17" s="100"/>
      <c r="Z17" s="106"/>
      <c r="AA17" s="107"/>
      <c r="AB17" s="99"/>
      <c r="AC17" s="100"/>
      <c r="AD17" s="99"/>
      <c r="AE17" s="100"/>
      <c r="AF17" s="99">
        <v>2046475</v>
      </c>
      <c r="AG17" s="100">
        <v>2145552</v>
      </c>
      <c r="AH17" s="99"/>
      <c r="AI17" s="100"/>
      <c r="AJ17" s="99"/>
      <c r="AK17" s="100"/>
      <c r="AL17" s="108"/>
      <c r="AM17" s="100"/>
      <c r="AN17" s="217"/>
      <c r="AO17" s="186"/>
      <c r="AP17" s="493">
        <v>1225</v>
      </c>
      <c r="AQ17" s="838">
        <v>673</v>
      </c>
      <c r="AR17" s="119"/>
      <c r="AS17" s="120"/>
      <c r="AT17" s="103"/>
      <c r="AU17" s="104"/>
      <c r="AV17" s="122">
        <f t="shared" ref="AV17:AW22" si="5">SUM(B17+D17+F17+H17+J17+L17+N17+P17+R17+T17+V17+X17+Z17+AB17+AD17+AF17+AH17+AJ17+AL17+AN17+AP17+AR17+AT17)</f>
        <v>2047370</v>
      </c>
      <c r="AW17" s="133">
        <f t="shared" si="5"/>
        <v>2146225</v>
      </c>
      <c r="AX17" s="103"/>
      <c r="AY17" s="114"/>
      <c r="AZ17" s="122">
        <f t="shared" si="4"/>
        <v>2047370</v>
      </c>
      <c r="BA17" s="135">
        <f t="shared" ref="BA17:BA22" si="6">AW17+AY17</f>
        <v>2146225</v>
      </c>
    </row>
    <row r="18" spans="1:53" s="98" customFormat="1" ht="14.25">
      <c r="A18" s="124" t="s">
        <v>43</v>
      </c>
      <c r="B18" s="130"/>
      <c r="C18" s="1002"/>
      <c r="D18" s="99"/>
      <c r="E18" s="101"/>
      <c r="F18" s="132"/>
      <c r="G18" s="105"/>
      <c r="H18" s="132"/>
      <c r="I18" s="105"/>
      <c r="J18" s="132"/>
      <c r="K18" s="105"/>
      <c r="L18" s="132"/>
      <c r="M18" s="105"/>
      <c r="N18" s="132"/>
      <c r="O18" s="114"/>
      <c r="P18" s="99"/>
      <c r="Q18" s="101"/>
      <c r="R18" s="99"/>
      <c r="S18" s="100"/>
      <c r="T18" s="99"/>
      <c r="U18" s="100"/>
      <c r="V18" s="103">
        <v>573031</v>
      </c>
      <c r="W18" s="104">
        <v>205548</v>
      </c>
      <c r="X18" s="99"/>
      <c r="Y18" s="100"/>
      <c r="Z18" s="106"/>
      <c r="AA18" s="107"/>
      <c r="AB18" s="99"/>
      <c r="AC18" s="100"/>
      <c r="AD18" s="99"/>
      <c r="AE18" s="100"/>
      <c r="AF18" s="99"/>
      <c r="AG18" s="100"/>
      <c r="AH18" s="99"/>
      <c r="AI18" s="100"/>
      <c r="AJ18" s="99"/>
      <c r="AK18" s="100"/>
      <c r="AL18" s="108"/>
      <c r="AM18" s="100"/>
      <c r="AN18" s="217"/>
      <c r="AO18" s="186"/>
      <c r="AP18" s="493"/>
      <c r="AQ18" s="838"/>
      <c r="AR18" s="119"/>
      <c r="AS18" s="120"/>
      <c r="AT18" s="103"/>
      <c r="AU18" s="104"/>
      <c r="AV18" s="122">
        <f t="shared" si="5"/>
        <v>573031</v>
      </c>
      <c r="AW18" s="133">
        <f t="shared" si="5"/>
        <v>205548</v>
      </c>
      <c r="AX18" s="103"/>
      <c r="AY18" s="114"/>
      <c r="AZ18" s="122">
        <f t="shared" si="4"/>
        <v>573031</v>
      </c>
      <c r="BA18" s="135">
        <f t="shared" si="6"/>
        <v>205548</v>
      </c>
    </row>
    <row r="19" spans="1:53" s="98" customFormat="1" ht="14.25">
      <c r="A19" s="124" t="s">
        <v>44</v>
      </c>
      <c r="B19" s="130"/>
      <c r="C19" s="1002"/>
      <c r="D19" s="99"/>
      <c r="E19" s="101"/>
      <c r="F19" s="132"/>
      <c r="G19" s="105"/>
      <c r="H19" s="132"/>
      <c r="I19" s="105"/>
      <c r="J19" s="132"/>
      <c r="K19" s="105"/>
      <c r="L19" s="132"/>
      <c r="M19" s="105"/>
      <c r="N19" s="132"/>
      <c r="O19" s="114"/>
      <c r="P19" s="99"/>
      <c r="Q19" s="101"/>
      <c r="R19" s="99"/>
      <c r="S19" s="100"/>
      <c r="T19" s="99"/>
      <c r="U19" s="100"/>
      <c r="V19" s="103">
        <v>37259</v>
      </c>
      <c r="W19" s="104">
        <v>40735</v>
      </c>
      <c r="X19" s="99"/>
      <c r="Y19" s="100"/>
      <c r="Z19" s="106"/>
      <c r="AA19" s="107"/>
      <c r="AB19" s="99"/>
      <c r="AC19" s="100"/>
      <c r="AD19" s="99"/>
      <c r="AE19" s="100"/>
      <c r="AF19" s="99"/>
      <c r="AG19" s="100"/>
      <c r="AH19" s="99"/>
      <c r="AI19" s="100"/>
      <c r="AJ19" s="99"/>
      <c r="AK19" s="100"/>
      <c r="AL19" s="108"/>
      <c r="AM19" s="100"/>
      <c r="AN19" s="217"/>
      <c r="AO19" s="186"/>
      <c r="AP19" s="493"/>
      <c r="AQ19" s="838"/>
      <c r="AR19" s="119"/>
      <c r="AS19" s="120"/>
      <c r="AT19" s="103"/>
      <c r="AU19" s="104"/>
      <c r="AV19" s="122">
        <f t="shared" si="5"/>
        <v>37259</v>
      </c>
      <c r="AW19" s="133">
        <f t="shared" si="5"/>
        <v>40735</v>
      </c>
      <c r="AX19" s="103"/>
      <c r="AY19" s="114"/>
      <c r="AZ19" s="122">
        <f t="shared" si="4"/>
        <v>37259</v>
      </c>
      <c r="BA19" s="135">
        <f t="shared" si="6"/>
        <v>40735</v>
      </c>
    </row>
    <row r="20" spans="1:53" s="98" customFormat="1" ht="14.25">
      <c r="A20" s="124" t="s">
        <v>45</v>
      </c>
      <c r="B20" s="130"/>
      <c r="C20" s="1002"/>
      <c r="D20" s="99"/>
      <c r="E20" s="101"/>
      <c r="F20" s="132"/>
      <c r="G20" s="105"/>
      <c r="H20" s="132">
        <v>396039</v>
      </c>
      <c r="I20" s="105">
        <v>4620</v>
      </c>
      <c r="J20" s="132"/>
      <c r="K20" s="105"/>
      <c r="L20" s="132"/>
      <c r="M20" s="105"/>
      <c r="N20" s="132">
        <v>4920</v>
      </c>
      <c r="O20" s="114">
        <v>3085</v>
      </c>
      <c r="P20" s="99"/>
      <c r="Q20" s="101">
        <v>593</v>
      </c>
      <c r="R20" s="99"/>
      <c r="S20" s="100"/>
      <c r="T20" s="99"/>
      <c r="U20" s="100"/>
      <c r="V20" s="103">
        <v>97816</v>
      </c>
      <c r="W20" s="104">
        <v>25332</v>
      </c>
      <c r="X20" s="99">
        <v>77899</v>
      </c>
      <c r="Y20" s="100">
        <v>122755</v>
      </c>
      <c r="Z20" s="106"/>
      <c r="AA20" s="107"/>
      <c r="AB20" s="99"/>
      <c r="AC20" s="100"/>
      <c r="AD20" s="99"/>
      <c r="AE20" s="100"/>
      <c r="AF20" s="99"/>
      <c r="AG20" s="100"/>
      <c r="AH20" s="99">
        <v>37410</v>
      </c>
      <c r="AI20" s="100">
        <v>20525</v>
      </c>
      <c r="AJ20" s="99"/>
      <c r="AK20" s="100"/>
      <c r="AL20" s="108"/>
      <c r="AM20" s="100"/>
      <c r="AN20" s="217">
        <v>53980</v>
      </c>
      <c r="AO20" s="186">
        <v>33602</v>
      </c>
      <c r="AP20" s="493"/>
      <c r="AQ20" s="838"/>
      <c r="AR20" s="119"/>
      <c r="AS20" s="120"/>
      <c r="AT20" s="103">
        <v>18993</v>
      </c>
      <c r="AU20" s="104">
        <v>13686</v>
      </c>
      <c r="AV20" s="122">
        <f t="shared" si="5"/>
        <v>687057</v>
      </c>
      <c r="AW20" s="133">
        <f t="shared" si="5"/>
        <v>224198</v>
      </c>
      <c r="AX20" s="103"/>
      <c r="AY20" s="114">
        <v>1826385</v>
      </c>
      <c r="AZ20" s="122">
        <f t="shared" si="4"/>
        <v>687057</v>
      </c>
      <c r="BA20" s="135">
        <f t="shared" si="6"/>
        <v>2050583</v>
      </c>
    </row>
    <row r="21" spans="1:53" s="98" customFormat="1" ht="14.25">
      <c r="A21" s="124" t="s">
        <v>46</v>
      </c>
      <c r="B21" s="130"/>
      <c r="C21" s="1002"/>
      <c r="D21" s="99"/>
      <c r="E21" s="101"/>
      <c r="F21" s="132"/>
      <c r="G21" s="105"/>
      <c r="H21" s="132"/>
      <c r="I21" s="105"/>
      <c r="J21" s="132"/>
      <c r="K21" s="105"/>
      <c r="L21" s="132"/>
      <c r="M21" s="105"/>
      <c r="N21" s="132">
        <v>565</v>
      </c>
      <c r="O21" s="114">
        <v>770</v>
      </c>
      <c r="P21" s="99"/>
      <c r="Q21" s="101"/>
      <c r="R21" s="99"/>
      <c r="S21" s="100"/>
      <c r="T21" s="99">
        <v>1161</v>
      </c>
      <c r="U21" s="100">
        <v>2087</v>
      </c>
      <c r="V21" s="103"/>
      <c r="W21" s="104"/>
      <c r="X21" s="99"/>
      <c r="Y21" s="100"/>
      <c r="Z21" s="106"/>
      <c r="AA21" s="107"/>
      <c r="AB21" s="99">
        <v>1201</v>
      </c>
      <c r="AC21" s="100">
        <v>915</v>
      </c>
      <c r="AD21" s="99"/>
      <c r="AE21" s="100"/>
      <c r="AF21" s="99"/>
      <c r="AG21" s="100"/>
      <c r="AH21" s="99"/>
      <c r="AI21" s="100"/>
      <c r="AJ21" s="99">
        <v>2073</v>
      </c>
      <c r="AK21" s="100">
        <v>-561</v>
      </c>
      <c r="AL21" s="108"/>
      <c r="AM21" s="100"/>
      <c r="AN21" s="217"/>
      <c r="AO21" s="186"/>
      <c r="AP21" s="493"/>
      <c r="AQ21" s="838"/>
      <c r="AR21" s="119"/>
      <c r="AS21" s="120">
        <v>1631</v>
      </c>
      <c r="AT21" s="103"/>
      <c r="AU21" s="104"/>
      <c r="AV21" s="122">
        <f t="shared" si="5"/>
        <v>5000</v>
      </c>
      <c r="AW21" s="133">
        <f t="shared" si="5"/>
        <v>4842</v>
      </c>
      <c r="AX21" s="103"/>
      <c r="AY21" s="114"/>
      <c r="AZ21" s="122">
        <f t="shared" si="4"/>
        <v>5000</v>
      </c>
      <c r="BA21" s="135">
        <f t="shared" si="6"/>
        <v>4842</v>
      </c>
    </row>
    <row r="22" spans="1:53" s="98" customFormat="1" ht="14.25">
      <c r="A22" s="124" t="s">
        <v>47</v>
      </c>
      <c r="B22" s="130"/>
      <c r="C22" s="1002"/>
      <c r="D22" s="99"/>
      <c r="E22" s="101"/>
      <c r="F22" s="132"/>
      <c r="G22" s="105"/>
      <c r="H22" s="132">
        <v>40723</v>
      </c>
      <c r="I22" s="105">
        <v>46737</v>
      </c>
      <c r="J22" s="132"/>
      <c r="K22" s="105"/>
      <c r="L22" s="132"/>
      <c r="M22" s="105"/>
      <c r="N22" s="132">
        <v>5164</v>
      </c>
      <c r="O22" s="114">
        <v>-3896</v>
      </c>
      <c r="P22" s="99"/>
      <c r="Q22" s="101"/>
      <c r="R22" s="99"/>
      <c r="S22" s="100"/>
      <c r="T22" s="99">
        <f>85173+10039+745</f>
        <v>95957</v>
      </c>
      <c r="U22" s="137">
        <f>219797+494494+827</f>
        <v>715118</v>
      </c>
      <c r="V22" s="103"/>
      <c r="W22" s="104"/>
      <c r="X22" s="99"/>
      <c r="Y22" s="100"/>
      <c r="Z22" s="106">
        <v>576</v>
      </c>
      <c r="AA22" s="107">
        <v>323</v>
      </c>
      <c r="AB22" s="99"/>
      <c r="AC22" s="100"/>
      <c r="AD22" s="99">
        <v>3786</v>
      </c>
      <c r="AE22" s="100">
        <f>3166+3540</f>
        <v>6706</v>
      </c>
      <c r="AF22" s="99">
        <v>50985</v>
      </c>
      <c r="AG22" s="100">
        <v>40809</v>
      </c>
      <c r="AH22" s="99"/>
      <c r="AI22" s="100"/>
      <c r="AJ22" s="99">
        <v>58758</v>
      </c>
      <c r="AK22" s="100">
        <v>44240</v>
      </c>
      <c r="AL22" s="108"/>
      <c r="AM22" s="100"/>
      <c r="AN22" s="217">
        <v>3118</v>
      </c>
      <c r="AO22" s="186">
        <v>1705</v>
      </c>
      <c r="AP22" s="493">
        <v>4905</v>
      </c>
      <c r="AQ22" s="838">
        <v>1302</v>
      </c>
      <c r="AR22" s="119">
        <f>29820+1310+108+1881+3185</f>
        <v>36304</v>
      </c>
      <c r="AS22" s="120">
        <f>127+2392</f>
        <v>2519</v>
      </c>
      <c r="AT22" s="103">
        <v>268070</v>
      </c>
      <c r="AU22" s="104">
        <v>195726</v>
      </c>
      <c r="AV22" s="122">
        <f t="shared" si="5"/>
        <v>568346</v>
      </c>
      <c r="AW22" s="133">
        <f t="shared" si="5"/>
        <v>1051289</v>
      </c>
      <c r="AX22" s="103">
        <v>1891571</v>
      </c>
      <c r="AY22" s="114">
        <v>7937</v>
      </c>
      <c r="AZ22" s="122">
        <f t="shared" si="4"/>
        <v>2459917</v>
      </c>
      <c r="BA22" s="135">
        <f t="shared" si="6"/>
        <v>1059226</v>
      </c>
    </row>
    <row r="23" spans="1:53" s="98" customFormat="1" ht="14.25">
      <c r="A23" s="124" t="s">
        <v>48</v>
      </c>
      <c r="B23" s="130"/>
      <c r="C23" s="1002"/>
      <c r="D23" s="99"/>
      <c r="E23" s="101"/>
      <c r="F23" s="132"/>
      <c r="G23" s="105"/>
      <c r="H23" s="132"/>
      <c r="I23" s="105"/>
      <c r="J23" s="132"/>
      <c r="K23" s="105"/>
      <c r="L23" s="132"/>
      <c r="M23" s="105"/>
      <c r="N23" s="132"/>
      <c r="O23" s="114"/>
      <c r="P23" s="99"/>
      <c r="Q23" s="101"/>
      <c r="R23" s="99"/>
      <c r="S23" s="100"/>
      <c r="T23" s="99"/>
      <c r="U23" s="100"/>
      <c r="V23" s="103"/>
      <c r="W23" s="104"/>
      <c r="X23" s="99"/>
      <c r="Y23" s="100"/>
      <c r="Z23" s="106"/>
      <c r="AA23" s="107"/>
      <c r="AB23" s="99"/>
      <c r="AC23" s="100"/>
      <c r="AD23" s="99"/>
      <c r="AE23" s="100"/>
      <c r="AF23" s="99"/>
      <c r="AG23" s="100"/>
      <c r="AH23" s="99"/>
      <c r="AI23" s="100"/>
      <c r="AJ23" s="99"/>
      <c r="AK23" s="100"/>
      <c r="AL23" s="108"/>
      <c r="AM23" s="100"/>
      <c r="AN23" s="103"/>
      <c r="AO23" s="114"/>
      <c r="AP23" s="493"/>
      <c r="AQ23" s="838"/>
      <c r="AR23" s="119"/>
      <c r="AS23" s="120"/>
      <c r="AT23" s="103"/>
      <c r="AU23" s="104"/>
      <c r="AV23" s="122"/>
      <c r="AW23" s="133"/>
      <c r="AX23" s="103"/>
      <c r="AY23" s="114"/>
      <c r="AZ23" s="122"/>
      <c r="BA23" s="135"/>
    </row>
    <row r="24" spans="1:53" s="98" customFormat="1" ht="14.25">
      <c r="A24" s="124" t="s">
        <v>31</v>
      </c>
      <c r="B24" s="138">
        <v>-857209</v>
      </c>
      <c r="C24" s="1042">
        <v>-379751</v>
      </c>
      <c r="D24" s="110">
        <v>-198095</v>
      </c>
      <c r="E24" s="1015">
        <v>-51375</v>
      </c>
      <c r="F24" s="133">
        <v>-108362</v>
      </c>
      <c r="G24" s="127">
        <v>-91679</v>
      </c>
      <c r="H24" s="133">
        <v>-121023</v>
      </c>
      <c r="I24" s="127">
        <v>-148111</v>
      </c>
      <c r="J24" s="133">
        <v>-66916</v>
      </c>
      <c r="K24" s="127">
        <v>-45556</v>
      </c>
      <c r="L24" s="133">
        <v>-153338</v>
      </c>
      <c r="M24" s="127">
        <v>-99578</v>
      </c>
      <c r="N24" s="133">
        <v>-367249</v>
      </c>
      <c r="O24" s="128">
        <v>-141229</v>
      </c>
      <c r="P24" s="110">
        <v>-46966</v>
      </c>
      <c r="Q24" s="1015">
        <v>-110117</v>
      </c>
      <c r="R24" s="110">
        <v>-116395</v>
      </c>
      <c r="S24" s="112"/>
      <c r="T24" s="110">
        <v>-139011</v>
      </c>
      <c r="U24" s="112">
        <v>-100782</v>
      </c>
      <c r="V24" s="122">
        <v>-682574</v>
      </c>
      <c r="W24" s="126">
        <v>-617397</v>
      </c>
      <c r="X24" s="110">
        <v>-1357392</v>
      </c>
      <c r="Y24" s="112">
        <v>-1417238</v>
      </c>
      <c r="Z24" s="106">
        <v>-1066</v>
      </c>
      <c r="AA24" s="107">
        <v>-48214</v>
      </c>
      <c r="AB24" s="110">
        <v>-179485</v>
      </c>
      <c r="AC24" s="112">
        <v>-145577</v>
      </c>
      <c r="AD24" s="139">
        <v>-224548</v>
      </c>
      <c r="AE24" s="140">
        <v>-305280</v>
      </c>
      <c r="AF24" s="110">
        <v>-279387</v>
      </c>
      <c r="AG24" s="112">
        <v>-486841</v>
      </c>
      <c r="AH24" s="110">
        <v>-241888</v>
      </c>
      <c r="AI24" s="112">
        <v>-328510</v>
      </c>
      <c r="AJ24" s="110">
        <v>-50116</v>
      </c>
      <c r="AK24" s="112">
        <v>-41041</v>
      </c>
      <c r="AL24" s="108"/>
      <c r="AM24" s="100"/>
      <c r="AN24" s="217">
        <v>-491370</v>
      </c>
      <c r="AO24" s="186">
        <v>-428741</v>
      </c>
      <c r="AP24" s="493">
        <v>-12611</v>
      </c>
      <c r="AQ24" s="838">
        <v>-3550</v>
      </c>
      <c r="AR24" s="119">
        <v>-108411</v>
      </c>
      <c r="AS24" s="120">
        <v>-85257</v>
      </c>
      <c r="AT24" s="122">
        <v>-198624</v>
      </c>
      <c r="AU24" s="126">
        <v>-488684</v>
      </c>
      <c r="AV24" s="122">
        <f>SUM(B24+D24+F24+H24+J24+L24+N24+P24+R24+T24+V24+X24+Z24+AB24+AD24+AF24+AH24+AJ24+AL24+AN24+AP24+AR24+AT24)</f>
        <v>-6002036</v>
      </c>
      <c r="AW24" s="133">
        <f>SUM(C24+E24+G24+I24+K24+M24+O24+Q24+S24+U24+W24+Y24+AA24+AC24+AE24+AG24+AI24+AK24+AM24+AO24+AQ24+AS24+AU24)</f>
        <v>-5564508</v>
      </c>
      <c r="AX24" s="122">
        <v>-126800</v>
      </c>
      <c r="AY24" s="128">
        <v>-291391</v>
      </c>
      <c r="AZ24" s="122">
        <f>AV24+AX24</f>
        <v>-6128836</v>
      </c>
      <c r="BA24" s="135">
        <f>AW24+AY24</f>
        <v>-5855899</v>
      </c>
    </row>
    <row r="25" spans="1:53" s="98" customFormat="1" ht="14.25">
      <c r="A25" s="124" t="s">
        <v>32</v>
      </c>
      <c r="B25" s="130"/>
      <c r="C25" s="1002"/>
      <c r="D25" s="99"/>
      <c r="E25" s="101"/>
      <c r="F25" s="132"/>
      <c r="G25" s="105"/>
      <c r="H25" s="132"/>
      <c r="I25" s="105"/>
      <c r="J25" s="132"/>
      <c r="K25" s="105"/>
      <c r="L25" s="132"/>
      <c r="M25" s="105"/>
      <c r="N25" s="132"/>
      <c r="O25" s="114"/>
      <c r="P25" s="99"/>
      <c r="Q25" s="101"/>
      <c r="R25" s="99"/>
      <c r="S25" s="100"/>
      <c r="T25" s="99"/>
      <c r="U25" s="100"/>
      <c r="V25" s="103"/>
      <c r="W25" s="104"/>
      <c r="X25" s="99"/>
      <c r="Y25" s="100"/>
      <c r="Z25" s="106"/>
      <c r="AA25" s="107"/>
      <c r="AB25" s="99"/>
      <c r="AC25" s="100"/>
      <c r="AD25" s="99"/>
      <c r="AE25" s="100"/>
      <c r="AF25" s="99"/>
      <c r="AG25" s="100"/>
      <c r="AH25" s="99"/>
      <c r="AI25" s="100"/>
      <c r="AJ25" s="99"/>
      <c r="AK25" s="100"/>
      <c r="AL25" s="108"/>
      <c r="AM25" s="100"/>
      <c r="AN25" s="103"/>
      <c r="AO25" s="114"/>
      <c r="AP25" s="493"/>
      <c r="AQ25" s="838"/>
      <c r="AR25" s="119"/>
      <c r="AS25" s="120"/>
      <c r="AT25" s="103"/>
      <c r="AU25" s="104"/>
      <c r="AV25" s="122"/>
      <c r="AW25" s="133"/>
      <c r="AX25" s="119"/>
      <c r="AY25" s="1052"/>
      <c r="AZ25" s="122"/>
      <c r="BA25" s="135"/>
    </row>
    <row r="26" spans="1:53" s="98" customFormat="1" ht="14.25">
      <c r="A26" s="124" t="s">
        <v>49</v>
      </c>
      <c r="B26" s="130"/>
      <c r="C26" s="1002"/>
      <c r="D26" s="99"/>
      <c r="E26" s="101"/>
      <c r="F26" s="132"/>
      <c r="G26" s="105"/>
      <c r="H26" s="132"/>
      <c r="I26" s="105"/>
      <c r="J26" s="132"/>
      <c r="K26" s="105"/>
      <c r="L26" s="132"/>
      <c r="M26" s="105"/>
      <c r="N26" s="132"/>
      <c r="O26" s="114"/>
      <c r="P26" s="99"/>
      <c r="Q26" s="101"/>
      <c r="R26" s="99"/>
      <c r="S26" s="100"/>
      <c r="T26" s="99"/>
      <c r="U26" s="100"/>
      <c r="V26" s="103"/>
      <c r="W26" s="104"/>
      <c r="X26" s="99"/>
      <c r="Y26" s="100"/>
      <c r="Z26" s="106"/>
      <c r="AA26" s="107"/>
      <c r="AB26" s="99"/>
      <c r="AC26" s="100"/>
      <c r="AD26" s="99"/>
      <c r="AE26" s="100"/>
      <c r="AF26" s="99"/>
      <c r="AG26" s="100"/>
      <c r="AH26" s="99"/>
      <c r="AI26" s="100"/>
      <c r="AJ26" s="99"/>
      <c r="AK26" s="100"/>
      <c r="AL26" s="108"/>
      <c r="AM26" s="100"/>
      <c r="AN26" s="103"/>
      <c r="AO26" s="114"/>
      <c r="AP26" s="493"/>
      <c r="AQ26" s="838"/>
      <c r="AR26" s="119"/>
      <c r="AS26" s="120"/>
      <c r="AT26" s="103"/>
      <c r="AU26" s="104"/>
      <c r="AV26" s="122"/>
      <c r="AW26" s="133"/>
      <c r="AX26" s="119"/>
      <c r="AY26" s="1052"/>
      <c r="AZ26" s="122"/>
      <c r="BA26" s="135"/>
    </row>
    <row r="27" spans="1:53" s="98" customFormat="1" ht="14.25">
      <c r="A27" s="124" t="s">
        <v>50</v>
      </c>
      <c r="B27" s="130">
        <v>-1251</v>
      </c>
      <c r="C27" s="1002">
        <v>-3951</v>
      </c>
      <c r="D27" s="99">
        <v>-1143</v>
      </c>
      <c r="E27" s="101">
        <v>82</v>
      </c>
      <c r="F27" s="132"/>
      <c r="G27" s="105"/>
      <c r="H27" s="132">
        <v>-269</v>
      </c>
      <c r="I27" s="105"/>
      <c r="J27" s="132">
        <v>-1801</v>
      </c>
      <c r="K27" s="105">
        <v>-981</v>
      </c>
      <c r="L27" s="132"/>
      <c r="M27" s="105"/>
      <c r="N27" s="132">
        <v>-25</v>
      </c>
      <c r="O27" s="114">
        <v>-100</v>
      </c>
      <c r="P27" s="99">
        <v>-3463</v>
      </c>
      <c r="Q27" s="101">
        <v>-751</v>
      </c>
      <c r="R27" s="99"/>
      <c r="S27" s="100"/>
      <c r="T27" s="99"/>
      <c r="U27" s="100"/>
      <c r="V27" s="103">
        <v>-89112</v>
      </c>
      <c r="W27" s="104">
        <v>-43359</v>
      </c>
      <c r="X27" s="99">
        <v>-116067</v>
      </c>
      <c r="Y27" s="100">
        <v>-73711</v>
      </c>
      <c r="Z27" s="106">
        <v>-9</v>
      </c>
      <c r="AA27" s="107"/>
      <c r="AB27" s="99">
        <v>-1977</v>
      </c>
      <c r="AC27" s="100">
        <v>-767</v>
      </c>
      <c r="AD27" s="99"/>
      <c r="AE27" s="100"/>
      <c r="AF27" s="99">
        <v>-8547</v>
      </c>
      <c r="AG27" s="100">
        <v>-19525</v>
      </c>
      <c r="AH27" s="99">
        <v>-2710</v>
      </c>
      <c r="AI27" s="100">
        <v>-2975</v>
      </c>
      <c r="AJ27" s="99">
        <v>-275</v>
      </c>
      <c r="AK27" s="100">
        <v>-36</v>
      </c>
      <c r="AL27" s="108"/>
      <c r="AM27" s="100"/>
      <c r="AN27" s="217">
        <v>-96</v>
      </c>
      <c r="AO27" s="186">
        <v>-867</v>
      </c>
      <c r="AP27" s="493"/>
      <c r="AQ27" s="838"/>
      <c r="AR27" s="119">
        <v>-13002</v>
      </c>
      <c r="AS27" s="120">
        <v>-3534</v>
      </c>
      <c r="AT27" s="103"/>
      <c r="AU27" s="104"/>
      <c r="AV27" s="122">
        <f>SUM(B27+D27+F27+H27+J27+L27+N27+P27+R27+T27+V27+X27+Z27+AB27+AD27+AF27+AH27+AJ27+AL27+AN27+AP27+AR27+AT27)</f>
        <v>-239747</v>
      </c>
      <c r="AW27" s="133">
        <f>SUM(C27+E27+G27+I27+K27+M27+O27+Q27+S27+U27+W27+Y27+AA27+AC27+AE27+AG27+AI27+AK27+AM27+AO27+AQ27+AS27+AU27)</f>
        <v>-150475</v>
      </c>
      <c r="AX27" s="119">
        <v>-42415</v>
      </c>
      <c r="AY27" s="1052">
        <v>-42600</v>
      </c>
      <c r="AZ27" s="122">
        <f>AV27+AX27</f>
        <v>-282162</v>
      </c>
      <c r="BA27" s="135">
        <f>AW27+AY27</f>
        <v>-193075</v>
      </c>
    </row>
    <row r="28" spans="1:53" s="98" customFormat="1" ht="14.25">
      <c r="A28" s="124" t="s">
        <v>51</v>
      </c>
      <c r="B28" s="130"/>
      <c r="C28" s="1002"/>
      <c r="D28" s="99">
        <v>-18503</v>
      </c>
      <c r="E28" s="101">
        <v>-735</v>
      </c>
      <c r="F28" s="132"/>
      <c r="G28" s="105"/>
      <c r="H28" s="132">
        <v>-6642</v>
      </c>
      <c r="I28" s="105">
        <v>-21392</v>
      </c>
      <c r="J28" s="132"/>
      <c r="K28" s="105"/>
      <c r="L28" s="132"/>
      <c r="M28" s="105"/>
      <c r="N28" s="132"/>
      <c r="O28" s="114"/>
      <c r="P28" s="99"/>
      <c r="Q28" s="101"/>
      <c r="R28" s="99"/>
      <c r="S28" s="100"/>
      <c r="T28" s="99"/>
      <c r="U28" s="100"/>
      <c r="V28" s="103"/>
      <c r="W28" s="104"/>
      <c r="X28" s="99"/>
      <c r="Y28" s="100"/>
      <c r="Z28" s="106"/>
      <c r="AA28" s="107"/>
      <c r="AB28" s="99"/>
      <c r="AC28" s="100"/>
      <c r="AD28" s="99">
        <v>-650</v>
      </c>
      <c r="AE28" s="100"/>
      <c r="AF28" s="99"/>
      <c r="AG28" s="100"/>
      <c r="AH28" s="99"/>
      <c r="AI28" s="100"/>
      <c r="AJ28" s="99"/>
      <c r="AK28" s="100"/>
      <c r="AL28" s="108"/>
      <c r="AM28" s="100"/>
      <c r="AN28" s="217"/>
      <c r="AO28" s="186"/>
      <c r="AP28" s="493"/>
      <c r="AQ28" s="838"/>
      <c r="AR28" s="119"/>
      <c r="AS28" s="120"/>
      <c r="AT28" s="103"/>
      <c r="AU28" s="104"/>
      <c r="AV28" s="122">
        <f>SUM(B28+D28+F28+H28+J28+L28+N28+P28+R28+T28+V28+X28+Z28+AB28+AD28+AF28+AH28+AJ28+AL28+AN28+AP28+AR28+AT28)</f>
        <v>-25795</v>
      </c>
      <c r="AW28" s="133">
        <f>SUM(C28+E28+G28+I28+K28+M28+O28+Q28+S28+U28+W28+Y28+AA28+AC28+AE28+AG28+AI28+AK28+AM28+AO28+AQ28+AS28+AU28)</f>
        <v>-22127</v>
      </c>
      <c r="AX28" s="119"/>
      <c r="AY28" s="1052"/>
      <c r="AZ28" s="122">
        <f>AV28+AX28</f>
        <v>-25795</v>
      </c>
      <c r="BA28" s="135">
        <f>AW28+AY28</f>
        <v>-22127</v>
      </c>
    </row>
    <row r="29" spans="1:53" s="98" customFormat="1" ht="14.25">
      <c r="A29" s="124" t="s">
        <v>52</v>
      </c>
      <c r="B29" s="138"/>
      <c r="C29" s="1042"/>
      <c r="D29" s="110"/>
      <c r="E29" s="1015"/>
      <c r="F29" s="133"/>
      <c r="G29" s="127"/>
      <c r="H29" s="133"/>
      <c r="I29" s="127"/>
      <c r="J29" s="133"/>
      <c r="K29" s="127"/>
      <c r="L29" s="133"/>
      <c r="M29" s="127"/>
      <c r="N29" s="133"/>
      <c r="O29" s="128"/>
      <c r="P29" s="110"/>
      <c r="Q29" s="1015"/>
      <c r="R29" s="110"/>
      <c r="S29" s="112"/>
      <c r="T29" s="110"/>
      <c r="U29" s="112"/>
      <c r="V29" s="122"/>
      <c r="W29" s="126"/>
      <c r="X29" s="110"/>
      <c r="Y29" s="112"/>
      <c r="Z29" s="106"/>
      <c r="AA29" s="107"/>
      <c r="AB29" s="110"/>
      <c r="AC29" s="112"/>
      <c r="AD29" s="139"/>
      <c r="AE29" s="140"/>
      <c r="AF29" s="110"/>
      <c r="AG29" s="112"/>
      <c r="AH29" s="110"/>
      <c r="AI29" s="112"/>
      <c r="AJ29" s="110"/>
      <c r="AK29" s="112"/>
      <c r="AL29" s="108"/>
      <c r="AM29" s="100"/>
      <c r="AN29" s="103"/>
      <c r="AO29" s="114"/>
      <c r="AP29" s="493"/>
      <c r="AQ29" s="838"/>
      <c r="AR29" s="119"/>
      <c r="AS29" s="120"/>
      <c r="AT29" s="122"/>
      <c r="AU29" s="126"/>
      <c r="AV29" s="122"/>
      <c r="AW29" s="133"/>
      <c r="AX29" s="122"/>
      <c r="AY29" s="128"/>
      <c r="AZ29" s="122"/>
      <c r="BA29" s="135"/>
    </row>
    <row r="30" spans="1:53" s="98" customFormat="1" ht="14.25">
      <c r="A30" s="124" t="s">
        <v>31</v>
      </c>
      <c r="B30" s="130"/>
      <c r="C30" s="1002"/>
      <c r="D30" s="99"/>
      <c r="E30" s="101"/>
      <c r="F30" s="132"/>
      <c r="G30" s="105"/>
      <c r="H30" s="132"/>
      <c r="I30" s="105"/>
      <c r="J30" s="132"/>
      <c r="K30" s="105"/>
      <c r="L30" s="132"/>
      <c r="M30" s="105"/>
      <c r="N30" s="132"/>
      <c r="O30" s="114"/>
      <c r="P30" s="99"/>
      <c r="Q30" s="101"/>
      <c r="R30" s="99"/>
      <c r="S30" s="100"/>
      <c r="T30" s="99"/>
      <c r="U30" s="100"/>
      <c r="V30" s="103"/>
      <c r="W30" s="104"/>
      <c r="X30" s="99"/>
      <c r="Y30" s="100"/>
      <c r="Z30" s="106"/>
      <c r="AA30" s="107"/>
      <c r="AB30" s="99"/>
      <c r="AC30" s="100"/>
      <c r="AD30" s="99"/>
      <c r="AE30" s="100"/>
      <c r="AF30" s="99"/>
      <c r="AG30" s="100"/>
      <c r="AH30" s="99"/>
      <c r="AI30" s="100"/>
      <c r="AJ30" s="99"/>
      <c r="AK30" s="100"/>
      <c r="AL30" s="108"/>
      <c r="AM30" s="100"/>
      <c r="AN30" s="103"/>
      <c r="AO30" s="114"/>
      <c r="AP30" s="493"/>
      <c r="AQ30" s="838"/>
      <c r="AR30" s="119"/>
      <c r="AS30" s="120"/>
      <c r="AT30" s="103"/>
      <c r="AU30" s="104"/>
      <c r="AV30" s="122">
        <f>SUM(B30+D30+F30+H30+J30+L30+N30+P30+R30+T30+V30+X30+Z30+AB30+AD30+AF30+AH30+AJ30+AL30+AN30+AP30+AR30+AT30)</f>
        <v>0</v>
      </c>
      <c r="AW30" s="133">
        <f>SUM(C30+E30+G30+I30+K30+M30+O30+Q30+S30+U30+W30+Y30+AA30+AC30+AE30+AG30+AI30+AK30+AM30+AO30+AQ30+AS30+AU30)</f>
        <v>0</v>
      </c>
      <c r="AX30" s="119"/>
      <c r="AY30" s="1052"/>
      <c r="AZ30" s="122">
        <f>AV30+AX30</f>
        <v>0</v>
      </c>
      <c r="BA30" s="135">
        <f>AW30+AY30</f>
        <v>0</v>
      </c>
    </row>
    <row r="31" spans="1:53" s="98" customFormat="1" ht="14.25">
      <c r="A31" s="124" t="s">
        <v>32</v>
      </c>
      <c r="B31" s="130"/>
      <c r="C31" s="1002"/>
      <c r="D31" s="99"/>
      <c r="E31" s="101"/>
      <c r="F31" s="132"/>
      <c r="G31" s="105"/>
      <c r="H31" s="132"/>
      <c r="I31" s="105"/>
      <c r="J31" s="132"/>
      <c r="K31" s="105"/>
      <c r="L31" s="132"/>
      <c r="M31" s="105"/>
      <c r="N31" s="132"/>
      <c r="O31" s="114"/>
      <c r="P31" s="99"/>
      <c r="Q31" s="101"/>
      <c r="R31" s="99"/>
      <c r="S31" s="100"/>
      <c r="T31" s="99"/>
      <c r="U31" s="100"/>
      <c r="V31" s="103"/>
      <c r="W31" s="104"/>
      <c r="X31" s="99"/>
      <c r="Y31" s="100"/>
      <c r="Z31" s="106"/>
      <c r="AA31" s="107"/>
      <c r="AB31" s="99"/>
      <c r="AC31" s="100"/>
      <c r="AD31" s="99"/>
      <c r="AE31" s="100"/>
      <c r="AF31" s="99"/>
      <c r="AG31" s="100"/>
      <c r="AH31" s="99"/>
      <c r="AI31" s="100"/>
      <c r="AJ31" s="99"/>
      <c r="AK31" s="100"/>
      <c r="AL31" s="108"/>
      <c r="AM31" s="100"/>
      <c r="AN31" s="103"/>
      <c r="AO31" s="114"/>
      <c r="AP31" s="493"/>
      <c r="AQ31" s="838"/>
      <c r="AR31" s="119"/>
      <c r="AS31" s="120"/>
      <c r="AT31" s="103"/>
      <c r="AU31" s="104"/>
      <c r="AV31" s="122"/>
      <c r="AW31" s="133"/>
      <c r="AX31" s="119"/>
      <c r="AY31" s="1052"/>
      <c r="AZ31" s="122"/>
      <c r="BA31" s="135"/>
    </row>
    <row r="32" spans="1:53" s="98" customFormat="1" ht="14.25">
      <c r="A32" s="124" t="s">
        <v>49</v>
      </c>
      <c r="B32" s="130"/>
      <c r="C32" s="1002"/>
      <c r="D32" s="99"/>
      <c r="E32" s="101"/>
      <c r="F32" s="132"/>
      <c r="G32" s="105"/>
      <c r="H32" s="132"/>
      <c r="I32" s="105"/>
      <c r="J32" s="132"/>
      <c r="K32" s="105"/>
      <c r="L32" s="132"/>
      <c r="M32" s="105"/>
      <c r="N32" s="132"/>
      <c r="O32" s="114"/>
      <c r="P32" s="99"/>
      <c r="Q32" s="101"/>
      <c r="R32" s="99"/>
      <c r="S32" s="100"/>
      <c r="T32" s="99"/>
      <c r="U32" s="100"/>
      <c r="V32" s="103"/>
      <c r="W32" s="104"/>
      <c r="X32" s="99"/>
      <c r="Y32" s="100"/>
      <c r="Z32" s="106"/>
      <c r="AA32" s="107"/>
      <c r="AB32" s="99"/>
      <c r="AC32" s="100"/>
      <c r="AD32" s="99"/>
      <c r="AE32" s="100"/>
      <c r="AF32" s="99"/>
      <c r="AG32" s="100"/>
      <c r="AH32" s="99"/>
      <c r="AI32" s="100"/>
      <c r="AJ32" s="99"/>
      <c r="AK32" s="100"/>
      <c r="AL32" s="108"/>
      <c r="AM32" s="100"/>
      <c r="AN32" s="103"/>
      <c r="AO32" s="114"/>
      <c r="AP32" s="493"/>
      <c r="AQ32" s="838"/>
      <c r="AR32" s="119"/>
      <c r="AS32" s="120"/>
      <c r="AT32" s="103"/>
      <c r="AU32" s="104"/>
      <c r="AV32" s="122"/>
      <c r="AW32" s="133"/>
      <c r="AX32" s="119"/>
      <c r="AY32" s="1052"/>
      <c r="AZ32" s="122"/>
      <c r="BA32" s="135"/>
    </row>
    <row r="33" spans="1:58" s="98" customFormat="1" thickBot="1">
      <c r="A33" s="172" t="s">
        <v>53</v>
      </c>
      <c r="B33" s="141"/>
      <c r="C33" s="1043"/>
      <c r="D33" s="147"/>
      <c r="E33" s="146"/>
      <c r="F33" s="144"/>
      <c r="G33" s="143"/>
      <c r="H33" s="144"/>
      <c r="I33" s="143"/>
      <c r="J33" s="144"/>
      <c r="K33" s="143"/>
      <c r="L33" s="144"/>
      <c r="M33" s="143"/>
      <c r="N33" s="144"/>
      <c r="O33" s="149"/>
      <c r="P33" s="147"/>
      <c r="Q33" s="146"/>
      <c r="R33" s="147"/>
      <c r="S33" s="142"/>
      <c r="T33" s="147"/>
      <c r="U33" s="142"/>
      <c r="V33" s="148"/>
      <c r="W33" s="145"/>
      <c r="X33" s="147"/>
      <c r="Y33" s="142"/>
      <c r="Z33" s="150"/>
      <c r="AA33" s="151"/>
      <c r="AB33" s="147"/>
      <c r="AC33" s="142"/>
      <c r="AD33" s="147"/>
      <c r="AE33" s="142"/>
      <c r="AF33" s="147"/>
      <c r="AG33" s="142"/>
      <c r="AH33" s="147"/>
      <c r="AI33" s="142"/>
      <c r="AJ33" s="147"/>
      <c r="AK33" s="142"/>
      <c r="AL33" s="152"/>
      <c r="AM33" s="142"/>
      <c r="AN33" s="218"/>
      <c r="AO33" s="1051"/>
      <c r="AP33" s="509"/>
      <c r="AQ33" s="839"/>
      <c r="AR33" s="154"/>
      <c r="AS33" s="155"/>
      <c r="AT33" s="148"/>
      <c r="AU33" s="145"/>
      <c r="AV33" s="156"/>
      <c r="AW33" s="157"/>
      <c r="AX33" s="154"/>
      <c r="AY33" s="1053"/>
      <c r="AZ33" s="156"/>
      <c r="BA33" s="158"/>
    </row>
    <row r="34" spans="1:58" s="528" customFormat="1" thickBot="1">
      <c r="A34" s="581" t="s">
        <v>54</v>
      </c>
      <c r="B34" s="584">
        <f>SUM(B6:B33)</f>
        <v>13869858</v>
      </c>
      <c r="C34" s="1044">
        <f t="shared" ref="C34:AF34" si="7">SUM(C6:C33)</f>
        <v>5858436</v>
      </c>
      <c r="D34" s="1048">
        <f t="shared" si="7"/>
        <v>719950</v>
      </c>
      <c r="E34" s="577">
        <f t="shared" si="7"/>
        <v>280782</v>
      </c>
      <c r="F34" s="515">
        <f t="shared" si="7"/>
        <v>2430060</v>
      </c>
      <c r="G34" s="572">
        <f t="shared" si="7"/>
        <v>1134863</v>
      </c>
      <c r="H34" s="515">
        <f t="shared" si="7"/>
        <v>13046569</v>
      </c>
      <c r="I34" s="514">
        <f t="shared" si="7"/>
        <v>7317312</v>
      </c>
      <c r="J34" s="515">
        <f t="shared" si="7"/>
        <v>871501</v>
      </c>
      <c r="K34" s="572">
        <f t="shared" si="7"/>
        <v>690313</v>
      </c>
      <c r="L34" s="515">
        <f t="shared" si="7"/>
        <v>3459672</v>
      </c>
      <c r="M34" s="514">
        <f t="shared" si="7"/>
        <v>3734624</v>
      </c>
      <c r="N34" s="515">
        <f t="shared" si="7"/>
        <v>855696</v>
      </c>
      <c r="O34" s="513">
        <f t="shared" si="7"/>
        <v>359855</v>
      </c>
      <c r="P34" s="512">
        <f t="shared" si="7"/>
        <v>151421</v>
      </c>
      <c r="Q34" s="514">
        <f t="shared" si="7"/>
        <v>188232</v>
      </c>
      <c r="R34" s="512">
        <f t="shared" si="7"/>
        <v>3131549</v>
      </c>
      <c r="S34" s="512">
        <f t="shared" si="7"/>
        <v>0</v>
      </c>
      <c r="T34" s="512">
        <f t="shared" si="7"/>
        <v>887118</v>
      </c>
      <c r="U34" s="512">
        <f t="shared" si="7"/>
        <v>1123961</v>
      </c>
      <c r="V34" s="512">
        <f t="shared" si="7"/>
        <v>35151663</v>
      </c>
      <c r="W34" s="512">
        <f t="shared" si="7"/>
        <v>26518074</v>
      </c>
      <c r="X34" s="512">
        <f t="shared" si="7"/>
        <v>36279743</v>
      </c>
      <c r="Y34" s="512">
        <f t="shared" si="7"/>
        <v>25779975</v>
      </c>
      <c r="Z34" s="512">
        <f t="shared" si="7"/>
        <v>1013291</v>
      </c>
      <c r="AA34" s="512">
        <f t="shared" si="7"/>
        <v>1210053</v>
      </c>
      <c r="AB34" s="512">
        <f t="shared" si="7"/>
        <v>10503929</v>
      </c>
      <c r="AC34" s="512">
        <f t="shared" si="7"/>
        <v>3000216</v>
      </c>
      <c r="AD34" s="512">
        <f t="shared" si="7"/>
        <v>6582675</v>
      </c>
      <c r="AE34" s="512">
        <f t="shared" si="7"/>
        <v>6410654</v>
      </c>
      <c r="AF34" s="512">
        <f t="shared" si="7"/>
        <v>16500633</v>
      </c>
      <c r="AG34" s="526">
        <f>SUM(AG6:AG33)</f>
        <v>9829378</v>
      </c>
      <c r="AH34" s="512">
        <f t="shared" ref="AH34:AU34" si="8">SUM(AH6:AH33)</f>
        <v>5628952</v>
      </c>
      <c r="AI34" s="512">
        <f t="shared" si="8"/>
        <v>4405314</v>
      </c>
      <c r="AJ34" s="512">
        <f t="shared" si="8"/>
        <v>6501898</v>
      </c>
      <c r="AK34" s="512">
        <f t="shared" si="8"/>
        <v>4506624</v>
      </c>
      <c r="AL34" s="513">
        <f t="shared" si="8"/>
        <v>0</v>
      </c>
      <c r="AM34" s="513">
        <f t="shared" si="8"/>
        <v>0</v>
      </c>
      <c r="AN34" s="513">
        <f t="shared" si="8"/>
        <v>28538347</v>
      </c>
      <c r="AO34" s="513">
        <f t="shared" si="8"/>
        <v>28424343</v>
      </c>
      <c r="AP34" s="513">
        <f t="shared" si="8"/>
        <v>1250895</v>
      </c>
      <c r="AQ34" s="514">
        <f t="shared" si="8"/>
        <v>583405</v>
      </c>
      <c r="AR34" s="513">
        <f t="shared" si="8"/>
        <v>1781069</v>
      </c>
      <c r="AS34" s="513">
        <f t="shared" si="8"/>
        <v>1650019</v>
      </c>
      <c r="AT34" s="513">
        <f t="shared" si="8"/>
        <v>4987334</v>
      </c>
      <c r="AU34" s="513">
        <f t="shared" si="8"/>
        <v>3656548</v>
      </c>
      <c r="AV34" s="517">
        <f>SUM(B34+D34+F34+H34+J34+L34+N34+P34+R34+T34+V34+X34+Z34+AB34+AD34+AF34+AH34+AJ34+AL34+AN34+AP34+AR34+AT34)</f>
        <v>194143823</v>
      </c>
      <c r="AW34" s="518">
        <f>SUM(C34+E34+G34+I34+K34+M34+O34+Q34+S34+U34+W34+Y34+AA34+AC34+AE34+AG34+AI34+AK34+AM34+AO34+AQ34+AS34+AU34)</f>
        <v>136662981</v>
      </c>
      <c r="AX34" s="567">
        <f>SUM(AX6:AX33)</f>
        <v>468470495</v>
      </c>
      <c r="AY34" s="1054">
        <f>SUM(AY6:AY33)</f>
        <v>475179189</v>
      </c>
      <c r="AZ34" s="517">
        <f>AV34+AX34</f>
        <v>662614318</v>
      </c>
      <c r="BA34" s="527">
        <f>AW34+AY34</f>
        <v>611842170</v>
      </c>
    </row>
    <row r="35" spans="1:58" s="98" customFormat="1" thickBot="1">
      <c r="A35" s="582" t="s">
        <v>55</v>
      </c>
      <c r="B35" s="578"/>
      <c r="C35" s="1045"/>
      <c r="D35" s="578"/>
      <c r="E35" s="585"/>
      <c r="F35" s="574"/>
      <c r="G35" s="573"/>
      <c r="H35" s="163"/>
      <c r="I35" s="162"/>
      <c r="J35" s="574"/>
      <c r="K35" s="573"/>
      <c r="L35" s="163"/>
      <c r="M35" s="162"/>
      <c r="N35" s="163"/>
      <c r="O35" s="163"/>
      <c r="P35" s="159"/>
      <c r="Q35" s="161"/>
      <c r="R35" s="159"/>
      <c r="S35" s="160"/>
      <c r="T35" s="159"/>
      <c r="U35" s="160"/>
      <c r="V35" s="164"/>
      <c r="W35" s="163"/>
      <c r="X35" s="159"/>
      <c r="Y35" s="160"/>
      <c r="Z35" s="159"/>
      <c r="AA35" s="160"/>
      <c r="AB35" s="159"/>
      <c r="AC35" s="160"/>
      <c r="AD35" s="159"/>
      <c r="AE35" s="160"/>
      <c r="AF35" s="159"/>
      <c r="AG35" s="160"/>
      <c r="AH35" s="159"/>
      <c r="AI35" s="160"/>
      <c r="AJ35" s="159"/>
      <c r="AK35" s="160"/>
      <c r="AL35" s="219"/>
      <c r="AM35" s="220"/>
      <c r="AN35" s="163"/>
      <c r="AO35" s="163"/>
      <c r="AP35" s="164"/>
      <c r="AQ35" s="162"/>
      <c r="AR35" s="164"/>
      <c r="AS35" s="163"/>
      <c r="AT35" s="164"/>
      <c r="AU35" s="163"/>
      <c r="AV35" s="165"/>
      <c r="AW35" s="166"/>
      <c r="AX35" s="569"/>
      <c r="AY35" s="1055"/>
      <c r="AZ35" s="165"/>
      <c r="BA35" s="167"/>
    </row>
    <row r="36" spans="1:58" s="98" customFormat="1" thickBot="1">
      <c r="A36" s="582" t="s">
        <v>56</v>
      </c>
      <c r="B36" s="579">
        <f>B34</f>
        <v>13869858</v>
      </c>
      <c r="C36" s="1046">
        <f t="shared" ref="C36:AI36" si="9">C34</f>
        <v>5858436</v>
      </c>
      <c r="D36" s="579">
        <f t="shared" si="9"/>
        <v>719950</v>
      </c>
      <c r="E36" s="586">
        <f t="shared" si="9"/>
        <v>280782</v>
      </c>
      <c r="F36" s="575">
        <f t="shared" si="9"/>
        <v>2430060</v>
      </c>
      <c r="G36" s="568">
        <f t="shared" si="9"/>
        <v>1134863</v>
      </c>
      <c r="H36" s="163">
        <f t="shared" si="9"/>
        <v>13046569</v>
      </c>
      <c r="I36" s="162">
        <f t="shared" si="9"/>
        <v>7317312</v>
      </c>
      <c r="J36" s="575">
        <f t="shared" si="9"/>
        <v>871501</v>
      </c>
      <c r="K36" s="568">
        <f t="shared" si="9"/>
        <v>690313</v>
      </c>
      <c r="L36" s="163">
        <f t="shared" si="9"/>
        <v>3459672</v>
      </c>
      <c r="M36" s="162">
        <f t="shared" si="9"/>
        <v>3734624</v>
      </c>
      <c r="N36" s="163">
        <f t="shared" si="9"/>
        <v>855696</v>
      </c>
      <c r="O36" s="163">
        <f t="shared" si="9"/>
        <v>359855</v>
      </c>
      <c r="P36" s="164">
        <f t="shared" si="9"/>
        <v>151421</v>
      </c>
      <c r="Q36" s="162">
        <f t="shared" si="9"/>
        <v>188232</v>
      </c>
      <c r="R36" s="164">
        <f t="shared" si="9"/>
        <v>3131549</v>
      </c>
      <c r="S36" s="163">
        <f t="shared" si="9"/>
        <v>0</v>
      </c>
      <c r="T36" s="164">
        <f t="shared" si="9"/>
        <v>887118</v>
      </c>
      <c r="U36" s="163">
        <f t="shared" si="9"/>
        <v>1123961</v>
      </c>
      <c r="V36" s="164">
        <f t="shared" si="9"/>
        <v>35151663</v>
      </c>
      <c r="W36" s="163">
        <f t="shared" si="9"/>
        <v>26518074</v>
      </c>
      <c r="X36" s="164">
        <v>37753202</v>
      </c>
      <c r="Y36" s="163">
        <v>27270924</v>
      </c>
      <c r="Z36" s="164">
        <f t="shared" si="9"/>
        <v>1013291</v>
      </c>
      <c r="AA36" s="163">
        <f t="shared" si="9"/>
        <v>1210053</v>
      </c>
      <c r="AB36" s="164">
        <f t="shared" si="9"/>
        <v>10503929</v>
      </c>
      <c r="AC36" s="163">
        <f t="shared" si="9"/>
        <v>3000216</v>
      </c>
      <c r="AD36" s="164">
        <f t="shared" si="9"/>
        <v>6582675</v>
      </c>
      <c r="AE36" s="163">
        <f t="shared" si="9"/>
        <v>6410654</v>
      </c>
      <c r="AF36" s="164">
        <f t="shared" si="9"/>
        <v>16500633</v>
      </c>
      <c r="AG36" s="163">
        <f t="shared" si="9"/>
        <v>9829378</v>
      </c>
      <c r="AH36" s="164">
        <f t="shared" si="9"/>
        <v>5628952</v>
      </c>
      <c r="AI36" s="163">
        <f t="shared" si="9"/>
        <v>4405314</v>
      </c>
      <c r="AJ36" s="164">
        <f>AJ34</f>
        <v>6501898</v>
      </c>
      <c r="AK36" s="163">
        <f>AK34</f>
        <v>4506624</v>
      </c>
      <c r="AL36" s="219"/>
      <c r="AM36" s="220"/>
      <c r="AN36" s="163">
        <f>AN34</f>
        <v>28538347</v>
      </c>
      <c r="AO36" s="163">
        <f>AO34</f>
        <v>28424343</v>
      </c>
      <c r="AP36" s="164">
        <f t="shared" ref="AP36:AU36" si="10">AP34</f>
        <v>1250895</v>
      </c>
      <c r="AQ36" s="162">
        <f t="shared" si="10"/>
        <v>583405</v>
      </c>
      <c r="AR36" s="164">
        <f t="shared" si="10"/>
        <v>1781069</v>
      </c>
      <c r="AS36" s="163">
        <f t="shared" si="10"/>
        <v>1650019</v>
      </c>
      <c r="AT36" s="164">
        <f t="shared" si="10"/>
        <v>4987334</v>
      </c>
      <c r="AU36" s="163">
        <f t="shared" si="10"/>
        <v>3656548</v>
      </c>
      <c r="AV36" s="165">
        <f>SUM(B36+D36+F36+H36+J36+L36+N36+P36+R36+T36+V36+X36+Z36+AB36+AD36+AF36+AH36+AJ36+AL36+AN36+AP36+AR36+AT36)</f>
        <v>195617282</v>
      </c>
      <c r="AW36" s="166">
        <f>SUM(C36+E36+G36+I36+K36+M36+O36+Q36+S36+U36+W36+Y36+AA36+AC36+AE36+AG36+AI36+AK36+AM36+AO36+AQ36+AS36+AU36)</f>
        <v>138153930</v>
      </c>
      <c r="AX36" s="569">
        <f>AX34</f>
        <v>468470495</v>
      </c>
      <c r="AY36" s="1055">
        <f>AY34</f>
        <v>475179189</v>
      </c>
      <c r="AZ36" s="165">
        <f>AV36+AX36</f>
        <v>664087777</v>
      </c>
      <c r="BA36" s="167">
        <f>AW36+AY36</f>
        <v>613333119</v>
      </c>
    </row>
    <row r="37" spans="1:58" s="98" customFormat="1" thickBot="1">
      <c r="A37" s="583" t="s">
        <v>57</v>
      </c>
      <c r="B37" s="578"/>
      <c r="C37" s="1045"/>
      <c r="D37" s="578"/>
      <c r="E37" s="585"/>
      <c r="F37" s="574"/>
      <c r="G37" s="573"/>
      <c r="H37" s="115"/>
      <c r="I37" s="116"/>
      <c r="J37" s="574"/>
      <c r="K37" s="573"/>
      <c r="L37" s="115"/>
      <c r="M37" s="116"/>
      <c r="N37" s="115"/>
      <c r="O37" s="115"/>
      <c r="P37" s="136"/>
      <c r="Q37" s="168"/>
      <c r="R37" s="136"/>
      <c r="S37" s="137"/>
      <c r="T37" s="136"/>
      <c r="U37" s="137"/>
      <c r="V37" s="117"/>
      <c r="W37" s="115"/>
      <c r="X37" s="136"/>
      <c r="Y37" s="137"/>
      <c r="Z37" s="136"/>
      <c r="AA37" s="137"/>
      <c r="AB37" s="136"/>
      <c r="AC37" s="137"/>
      <c r="AD37" s="136"/>
      <c r="AE37" s="137"/>
      <c r="AF37" s="136"/>
      <c r="AG37" s="137"/>
      <c r="AH37" s="136"/>
      <c r="AI37" s="137"/>
      <c r="AJ37" s="136"/>
      <c r="AK37" s="137"/>
      <c r="AL37" s="359"/>
      <c r="AM37" s="360"/>
      <c r="AN37" s="115"/>
      <c r="AO37" s="115"/>
      <c r="AP37" s="117"/>
      <c r="AQ37" s="116"/>
      <c r="AR37" s="117"/>
      <c r="AS37" s="115"/>
      <c r="AT37" s="117"/>
      <c r="AU37" s="115"/>
      <c r="AV37" s="361"/>
      <c r="AW37" s="362"/>
      <c r="AX37" s="569"/>
      <c r="AY37" s="1055"/>
      <c r="AZ37" s="361"/>
      <c r="BA37" s="363"/>
    </row>
    <row r="38" spans="1:58" s="528" customFormat="1" thickBot="1">
      <c r="A38" s="581" t="s">
        <v>54</v>
      </c>
      <c r="B38" s="580">
        <f>B36</f>
        <v>13869858</v>
      </c>
      <c r="C38" s="1047">
        <f t="shared" ref="C38:AH38" si="11">C36</f>
        <v>5858436</v>
      </c>
      <c r="D38" s="580">
        <f t="shared" si="11"/>
        <v>719950</v>
      </c>
      <c r="E38" s="587">
        <f t="shared" si="11"/>
        <v>280782</v>
      </c>
      <c r="F38" s="576">
        <f t="shared" si="11"/>
        <v>2430060</v>
      </c>
      <c r="G38" s="571">
        <f t="shared" si="11"/>
        <v>1134863</v>
      </c>
      <c r="H38" s="533">
        <f t="shared" si="11"/>
        <v>13046569</v>
      </c>
      <c r="I38" s="532">
        <f t="shared" si="11"/>
        <v>7317312</v>
      </c>
      <c r="J38" s="576">
        <f t="shared" si="11"/>
        <v>871501</v>
      </c>
      <c r="K38" s="571">
        <f t="shared" si="11"/>
        <v>690313</v>
      </c>
      <c r="L38" s="533">
        <f t="shared" si="11"/>
        <v>3459672</v>
      </c>
      <c r="M38" s="532">
        <f t="shared" si="11"/>
        <v>3734624</v>
      </c>
      <c r="N38" s="533">
        <f t="shared" si="11"/>
        <v>855696</v>
      </c>
      <c r="O38" s="533">
        <f t="shared" si="11"/>
        <v>359855</v>
      </c>
      <c r="P38" s="529">
        <f t="shared" si="11"/>
        <v>151421</v>
      </c>
      <c r="Q38" s="531">
        <f t="shared" si="11"/>
        <v>188232</v>
      </c>
      <c r="R38" s="529">
        <f t="shared" si="11"/>
        <v>3131549</v>
      </c>
      <c r="S38" s="530">
        <f t="shared" si="11"/>
        <v>0</v>
      </c>
      <c r="T38" s="529">
        <f t="shared" si="11"/>
        <v>887118</v>
      </c>
      <c r="U38" s="530">
        <f t="shared" si="11"/>
        <v>1123961</v>
      </c>
      <c r="V38" s="534">
        <f t="shared" si="11"/>
        <v>35151663</v>
      </c>
      <c r="W38" s="533">
        <f t="shared" si="11"/>
        <v>26518074</v>
      </c>
      <c r="X38" s="529">
        <f t="shared" si="11"/>
        <v>37753202</v>
      </c>
      <c r="Y38" s="530">
        <f>Y36</f>
        <v>27270924</v>
      </c>
      <c r="Z38" s="529">
        <f t="shared" si="11"/>
        <v>1013291</v>
      </c>
      <c r="AA38" s="530">
        <f t="shared" si="11"/>
        <v>1210053</v>
      </c>
      <c r="AB38" s="529">
        <f t="shared" si="11"/>
        <v>10503929</v>
      </c>
      <c r="AC38" s="530">
        <f t="shared" si="11"/>
        <v>3000216</v>
      </c>
      <c r="AD38" s="529">
        <f t="shared" si="11"/>
        <v>6582675</v>
      </c>
      <c r="AE38" s="530">
        <f t="shared" si="11"/>
        <v>6410654</v>
      </c>
      <c r="AF38" s="529">
        <f t="shared" si="11"/>
        <v>16500633</v>
      </c>
      <c r="AG38" s="530">
        <f t="shared" si="11"/>
        <v>9829378</v>
      </c>
      <c r="AH38" s="529">
        <f t="shared" si="11"/>
        <v>5628952</v>
      </c>
      <c r="AI38" s="530">
        <f t="shared" ref="AI38:AU38" si="12">AI36</f>
        <v>4405314</v>
      </c>
      <c r="AJ38" s="529">
        <f t="shared" si="12"/>
        <v>6501898</v>
      </c>
      <c r="AK38" s="530">
        <f t="shared" si="12"/>
        <v>4506624</v>
      </c>
      <c r="AL38" s="535">
        <f t="shared" si="12"/>
        <v>0</v>
      </c>
      <c r="AM38" s="536">
        <f t="shared" si="12"/>
        <v>0</v>
      </c>
      <c r="AN38" s="533">
        <f t="shared" si="12"/>
        <v>28538347</v>
      </c>
      <c r="AO38" s="533">
        <f t="shared" si="12"/>
        <v>28424343</v>
      </c>
      <c r="AP38" s="534">
        <f t="shared" si="12"/>
        <v>1250895</v>
      </c>
      <c r="AQ38" s="532">
        <f t="shared" si="12"/>
        <v>583405</v>
      </c>
      <c r="AR38" s="534">
        <f t="shared" si="12"/>
        <v>1781069</v>
      </c>
      <c r="AS38" s="533">
        <f t="shared" si="12"/>
        <v>1650019</v>
      </c>
      <c r="AT38" s="534">
        <f t="shared" si="12"/>
        <v>4987334</v>
      </c>
      <c r="AU38" s="533">
        <f t="shared" si="12"/>
        <v>3656548</v>
      </c>
      <c r="AV38" s="517">
        <f>SUM(B38+D38+F38+H38+J38+L38+N38+P38+R38+T38+V38+X38+Z38+AB38+AD38+AF38+AH38+AJ38+AL38+AN38+AP38+AR38+AT38)</f>
        <v>195617282</v>
      </c>
      <c r="AW38" s="518">
        <f>SUM(C38+E38+G38+I38+K38+M38+O38+Q38+S38+U38+W38+Y38+AA38+AC38+AE38+AG38+AI38+AK38+AM38+AO38+AQ38+AS38+AU38)</f>
        <v>138153930</v>
      </c>
      <c r="AX38" s="570">
        <f>AX36</f>
        <v>468470495</v>
      </c>
      <c r="AY38" s="1056">
        <f>AY36</f>
        <v>475179189</v>
      </c>
      <c r="AZ38" s="517">
        <f>AV38+AX38</f>
        <v>664087777</v>
      </c>
      <c r="BA38" s="527">
        <f>AW38+AY38</f>
        <v>613333119</v>
      </c>
      <c r="BE38" s="524"/>
      <c r="BF38" s="524"/>
    </row>
    <row r="39" spans="1:58" s="98" customFormat="1" ht="14.25">
      <c r="A39" s="82"/>
      <c r="V39" s="169"/>
      <c r="W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</row>
  </sheetData>
  <mergeCells count="29">
    <mergeCell ref="N3:O3"/>
    <mergeCell ref="A1:BA1"/>
    <mergeCell ref="A2:BA2"/>
    <mergeCell ref="A3:A4"/>
    <mergeCell ref="D3:E3"/>
    <mergeCell ref="F3:G3"/>
    <mergeCell ref="H3:I3"/>
    <mergeCell ref="B3:C3"/>
    <mergeCell ref="J3:K3"/>
    <mergeCell ref="L3:M3"/>
    <mergeCell ref="P3:Q3"/>
    <mergeCell ref="R3:S3"/>
    <mergeCell ref="T3:U3"/>
    <mergeCell ref="V3:W3"/>
    <mergeCell ref="X3:Y3"/>
    <mergeCell ref="AZ3:BA3"/>
    <mergeCell ref="AX3:AY3"/>
    <mergeCell ref="AV3:AW3"/>
    <mergeCell ref="AT3:AU3"/>
    <mergeCell ref="AR3:AS3"/>
    <mergeCell ref="Z3:AA3"/>
    <mergeCell ref="AB3:AC3"/>
    <mergeCell ref="AP3:AQ3"/>
    <mergeCell ref="AN3:AO3"/>
    <mergeCell ref="AL3:AM3"/>
    <mergeCell ref="AD3:AE3"/>
    <mergeCell ref="AJ3:AK3"/>
    <mergeCell ref="AH3:AI3"/>
    <mergeCell ref="AF3:AG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14"/>
  <sheetViews>
    <sheetView workbookViewId="0">
      <pane xSplit="1" topLeftCell="L1" activePane="topRight" state="frozen"/>
      <selection pane="topRight" activeCell="M14" sqref="M14"/>
    </sheetView>
    <sheetView workbookViewId="1">
      <pane xSplit="1" topLeftCell="AD1" activePane="topRight" state="frozen"/>
      <selection pane="topRight" activeCell="A9" sqref="A9"/>
    </sheetView>
  </sheetViews>
  <sheetFormatPr defaultRowHeight="16.5"/>
  <cols>
    <col min="1" max="1" width="45.42578125" style="94" bestFit="1" customWidth="1"/>
    <col min="2" max="3" width="10.42578125" style="94" bestFit="1" customWidth="1"/>
    <col min="4" max="5" width="10.42578125" style="94" customWidth="1"/>
    <col min="6" max="7" width="10.42578125" style="94" bestFit="1" customWidth="1"/>
    <col min="8" max="9" width="11.5703125" style="94" bestFit="1" customWidth="1"/>
    <col min="10" max="15" width="10.42578125" style="94" bestFit="1" customWidth="1"/>
    <col min="16" max="16" width="11.5703125" style="94" bestFit="1" customWidth="1"/>
    <col min="17" max="17" width="11.5703125" style="94" customWidth="1"/>
    <col min="18" max="21" width="10.42578125" style="94" bestFit="1" customWidth="1"/>
    <col min="22" max="22" width="11.5703125" style="94" bestFit="1" customWidth="1"/>
    <col min="23" max="23" width="11.5703125" style="94" customWidth="1"/>
    <col min="24" max="24" width="11.5703125" style="94" bestFit="1" customWidth="1"/>
    <col min="25" max="25" width="11.5703125" style="94" customWidth="1"/>
    <col min="26" max="29" width="10.42578125" style="94" bestFit="1" customWidth="1"/>
    <col min="30" max="30" width="11.5703125" style="94" bestFit="1" customWidth="1"/>
    <col min="31" max="31" width="11.5703125" style="94" customWidth="1"/>
    <col min="32" max="39" width="10.42578125" style="94" bestFit="1" customWidth="1"/>
    <col min="40" max="40" width="11.5703125" style="94" bestFit="1" customWidth="1"/>
    <col min="41" max="41" width="11.5703125" style="94" customWidth="1"/>
    <col min="42" max="47" width="10.42578125" style="94" bestFit="1" customWidth="1"/>
    <col min="48" max="49" width="12.85546875" style="94" bestFit="1" customWidth="1"/>
    <col min="50" max="51" width="10.42578125" style="94" bestFit="1" customWidth="1"/>
    <col min="52" max="52" width="12.85546875" style="59" bestFit="1" customWidth="1"/>
    <col min="53" max="53" width="12.85546875" style="94" bestFit="1" customWidth="1"/>
    <col min="54" max="16384" width="9.140625" style="94"/>
  </cols>
  <sheetData>
    <row r="1" spans="1:53" s="427" customFormat="1" ht="17.25" thickBot="1">
      <c r="A1" s="1260" t="s">
        <v>266</v>
      </c>
      <c r="B1" s="1260"/>
      <c r="C1" s="1260"/>
      <c r="D1" s="1260"/>
      <c r="E1" s="1260"/>
      <c r="F1" s="1260"/>
      <c r="G1" s="1260"/>
      <c r="H1" s="1260"/>
      <c r="I1" s="1260"/>
      <c r="J1" s="1260"/>
      <c r="K1" s="1260"/>
      <c r="L1" s="1260"/>
      <c r="M1" s="1260"/>
      <c r="N1" s="1260"/>
      <c r="O1" s="1260"/>
      <c r="P1" s="1260"/>
      <c r="Q1" s="1260"/>
      <c r="R1" s="1260"/>
      <c r="S1" s="1260"/>
      <c r="T1" s="1260"/>
      <c r="U1" s="1260"/>
      <c r="V1" s="1260"/>
      <c r="W1" s="1260"/>
      <c r="X1" s="1260"/>
      <c r="Y1" s="1260"/>
      <c r="Z1" s="1260"/>
      <c r="AA1" s="1260"/>
      <c r="AB1" s="1260"/>
      <c r="AC1" s="1260"/>
      <c r="AD1" s="1260"/>
      <c r="AE1" s="1260"/>
      <c r="AF1" s="1260"/>
      <c r="AG1" s="1260"/>
      <c r="AH1" s="1260"/>
      <c r="AI1" s="1260"/>
      <c r="AJ1" s="1260"/>
      <c r="AK1" s="1260"/>
      <c r="AL1" s="1260"/>
      <c r="AM1" s="1260"/>
      <c r="AN1" s="1260"/>
      <c r="AO1" s="1260"/>
      <c r="AP1" s="1260"/>
      <c r="AQ1" s="1260"/>
      <c r="AR1" s="1260"/>
      <c r="AS1" s="1260"/>
      <c r="AT1" s="1260"/>
      <c r="AU1" s="1260"/>
      <c r="AV1" s="1260"/>
      <c r="AW1" s="1260"/>
      <c r="AX1" s="1260"/>
      <c r="AY1" s="1260"/>
      <c r="AZ1" s="1260"/>
    </row>
    <row r="2" spans="1:53" ht="69" customHeight="1" thickBot="1">
      <c r="A2" s="1259" t="s">
        <v>0</v>
      </c>
      <c r="B2" s="1206" t="s">
        <v>164</v>
      </c>
      <c r="C2" s="1207"/>
      <c r="D2" s="1201" t="s">
        <v>165</v>
      </c>
      <c r="E2" s="1202"/>
      <c r="F2" s="1201" t="s">
        <v>166</v>
      </c>
      <c r="G2" s="1202"/>
      <c r="H2" s="1201" t="s">
        <v>167</v>
      </c>
      <c r="I2" s="1202"/>
      <c r="J2" s="1261" t="s">
        <v>168</v>
      </c>
      <c r="K2" s="1262"/>
      <c r="L2" s="1261" t="s">
        <v>169</v>
      </c>
      <c r="M2" s="1262"/>
      <c r="N2" s="1201" t="s">
        <v>371</v>
      </c>
      <c r="O2" s="1202"/>
      <c r="P2" s="1201" t="s">
        <v>171</v>
      </c>
      <c r="Q2" s="1202"/>
      <c r="R2" s="1201" t="s">
        <v>172</v>
      </c>
      <c r="S2" s="1202"/>
      <c r="T2" s="1263" t="s">
        <v>173</v>
      </c>
      <c r="U2" s="1262"/>
      <c r="V2" s="1201" t="s">
        <v>174</v>
      </c>
      <c r="W2" s="1202"/>
      <c r="X2" s="1201" t="s">
        <v>175</v>
      </c>
      <c r="Y2" s="1202"/>
      <c r="Z2" s="1201" t="s">
        <v>176</v>
      </c>
      <c r="AA2" s="1202"/>
      <c r="AB2" s="1201" t="s">
        <v>177</v>
      </c>
      <c r="AC2" s="1202"/>
      <c r="AD2" s="1201" t="s">
        <v>178</v>
      </c>
      <c r="AE2" s="1202"/>
      <c r="AF2" s="1201" t="s">
        <v>179</v>
      </c>
      <c r="AG2" s="1202"/>
      <c r="AH2" s="1201" t="s">
        <v>180</v>
      </c>
      <c r="AI2" s="1202"/>
      <c r="AJ2" s="1201" t="s">
        <v>181</v>
      </c>
      <c r="AK2" s="1202"/>
      <c r="AL2" s="1201" t="s">
        <v>182</v>
      </c>
      <c r="AM2" s="1202"/>
      <c r="AN2" s="1201" t="s">
        <v>183</v>
      </c>
      <c r="AO2" s="1202"/>
      <c r="AP2" s="1201" t="s">
        <v>184</v>
      </c>
      <c r="AQ2" s="1202"/>
      <c r="AR2" s="1201" t="s">
        <v>185</v>
      </c>
      <c r="AS2" s="1202"/>
      <c r="AT2" s="1201" t="s">
        <v>186</v>
      </c>
      <c r="AU2" s="1202"/>
      <c r="AV2" s="1201" t="s">
        <v>1</v>
      </c>
      <c r="AW2" s="1202"/>
      <c r="AX2" s="1201" t="s">
        <v>187</v>
      </c>
      <c r="AY2" s="1202"/>
      <c r="AZ2" s="1264" t="s">
        <v>2</v>
      </c>
      <c r="BA2" s="1265"/>
    </row>
    <row r="3" spans="1:53" s="472" customFormat="1" ht="36.75" customHeight="1" thickBot="1">
      <c r="A3" s="1259"/>
      <c r="B3" s="780" t="s">
        <v>297</v>
      </c>
      <c r="C3" s="780" t="s">
        <v>365</v>
      </c>
      <c r="D3" s="589" t="s">
        <v>297</v>
      </c>
      <c r="E3" s="780" t="s">
        <v>365</v>
      </c>
      <c r="F3" s="589" t="s">
        <v>297</v>
      </c>
      <c r="G3" s="589" t="s">
        <v>365</v>
      </c>
      <c r="H3" s="589" t="s">
        <v>297</v>
      </c>
      <c r="I3" s="589" t="s">
        <v>365</v>
      </c>
      <c r="J3" s="772" t="s">
        <v>297</v>
      </c>
      <c r="K3" s="589" t="s">
        <v>365</v>
      </c>
      <c r="L3" s="772" t="s">
        <v>297</v>
      </c>
      <c r="M3" s="589" t="s">
        <v>365</v>
      </c>
      <c r="N3" s="772" t="s">
        <v>297</v>
      </c>
      <c r="O3" s="589" t="s">
        <v>365</v>
      </c>
      <c r="P3" s="590" t="s">
        <v>297</v>
      </c>
      <c r="Q3" s="780" t="s">
        <v>365</v>
      </c>
      <c r="R3" s="772" t="s">
        <v>297</v>
      </c>
      <c r="S3" s="780" t="s">
        <v>365</v>
      </c>
      <c r="T3" s="772" t="s">
        <v>297</v>
      </c>
      <c r="U3" s="780" t="s">
        <v>365</v>
      </c>
      <c r="V3" s="772" t="s">
        <v>297</v>
      </c>
      <c r="W3" s="780" t="s">
        <v>365</v>
      </c>
      <c r="X3" s="772" t="s">
        <v>297</v>
      </c>
      <c r="Y3" s="780" t="s">
        <v>365</v>
      </c>
      <c r="Z3" s="772" t="s">
        <v>297</v>
      </c>
      <c r="AA3" s="780" t="s">
        <v>365</v>
      </c>
      <c r="AB3" s="772" t="s">
        <v>297</v>
      </c>
      <c r="AC3" s="780" t="s">
        <v>365</v>
      </c>
      <c r="AD3" s="772" t="s">
        <v>297</v>
      </c>
      <c r="AE3" s="780" t="s">
        <v>365</v>
      </c>
      <c r="AF3" s="772" t="s">
        <v>297</v>
      </c>
      <c r="AG3" s="780" t="s">
        <v>365</v>
      </c>
      <c r="AH3" s="772" t="s">
        <v>297</v>
      </c>
      <c r="AI3" s="780" t="s">
        <v>365</v>
      </c>
      <c r="AJ3" s="772" t="s">
        <v>297</v>
      </c>
      <c r="AK3" s="780" t="s">
        <v>365</v>
      </c>
      <c r="AL3" s="772" t="s">
        <v>297</v>
      </c>
      <c r="AM3" s="780" t="s">
        <v>365</v>
      </c>
      <c r="AN3" s="772" t="s">
        <v>297</v>
      </c>
      <c r="AO3" s="780" t="s">
        <v>365</v>
      </c>
      <c r="AP3" s="772" t="s">
        <v>297</v>
      </c>
      <c r="AQ3" s="780" t="s">
        <v>365</v>
      </c>
      <c r="AR3" s="772" t="s">
        <v>297</v>
      </c>
      <c r="AS3" s="780" t="s">
        <v>365</v>
      </c>
      <c r="AT3" s="590" t="s">
        <v>297</v>
      </c>
      <c r="AU3" s="780" t="s">
        <v>365</v>
      </c>
      <c r="AV3" s="770" t="s">
        <v>297</v>
      </c>
      <c r="AW3" s="780" t="s">
        <v>365</v>
      </c>
      <c r="AX3" s="590" t="s">
        <v>297</v>
      </c>
      <c r="AY3" s="780" t="s">
        <v>365</v>
      </c>
      <c r="AZ3" s="780" t="s">
        <v>297</v>
      </c>
      <c r="BA3" s="780" t="s">
        <v>365</v>
      </c>
    </row>
    <row r="4" spans="1:53">
      <c r="A4" s="778" t="s">
        <v>253</v>
      </c>
      <c r="B4" s="781"/>
      <c r="C4" s="782"/>
      <c r="D4" s="737"/>
      <c r="E4" s="737"/>
      <c r="F4" s="771">
        <v>0</v>
      </c>
      <c r="G4" s="771">
        <v>0</v>
      </c>
      <c r="H4" s="771"/>
      <c r="I4" s="771"/>
      <c r="J4" s="771"/>
      <c r="K4" s="771"/>
      <c r="L4" s="771"/>
      <c r="M4" s="771"/>
      <c r="N4" s="771"/>
      <c r="O4" s="771"/>
      <c r="P4" s="737"/>
      <c r="Q4" s="737"/>
      <c r="R4" s="736">
        <v>0</v>
      </c>
      <c r="S4" s="738">
        <v>0</v>
      </c>
      <c r="T4" s="776">
        <v>0</v>
      </c>
      <c r="U4" s="777">
        <v>0</v>
      </c>
      <c r="V4" s="737"/>
      <c r="W4" s="737"/>
      <c r="X4" s="737"/>
      <c r="Y4" s="737"/>
      <c r="Z4" s="737"/>
      <c r="AA4" s="737"/>
      <c r="AB4" s="737"/>
      <c r="AC4" s="737"/>
      <c r="AD4" s="737"/>
      <c r="AE4" s="737"/>
      <c r="AF4" s="737"/>
      <c r="AG4" s="737"/>
      <c r="AH4" s="737">
        <v>0</v>
      </c>
      <c r="AI4" s="737">
        <v>0</v>
      </c>
      <c r="AJ4" s="737"/>
      <c r="AK4" s="737"/>
      <c r="AL4" s="737"/>
      <c r="AM4" s="737"/>
      <c r="AN4" s="737"/>
      <c r="AO4" s="737"/>
      <c r="AP4" s="737"/>
      <c r="AQ4" s="737"/>
      <c r="AR4" s="737"/>
      <c r="AS4" s="737"/>
      <c r="AT4" s="737"/>
      <c r="AU4" s="738"/>
      <c r="AV4" s="781">
        <f>SUM(B4+D4+F4+H4+J4+L4+N4+P4+R4+T4+V4+X4+Z4+AB4+AD4+AF4+AH4+AJ4+AL4+AN4+AP4+AR4+AT4)</f>
        <v>0</v>
      </c>
      <c r="AW4" s="782">
        <f>SUM(C4+E4+G4+I4+K4+M4+O4+Q4+S4+U4+W4+Y4+AA4+AC4+AE4+AG4+AI4+AK4+AM4+AO4+AQ4+AS4+AU4)</f>
        <v>0</v>
      </c>
      <c r="AX4" s="737"/>
      <c r="AY4" s="738"/>
      <c r="AZ4" s="781">
        <f>AV4+AX4</f>
        <v>0</v>
      </c>
      <c r="BA4" s="782">
        <f>AW4+AY4</f>
        <v>0</v>
      </c>
    </row>
    <row r="5" spans="1:53">
      <c r="A5" s="548" t="s">
        <v>254</v>
      </c>
      <c r="B5" s="773">
        <v>682920</v>
      </c>
      <c r="C5" s="774">
        <v>682920</v>
      </c>
      <c r="D5" s="734"/>
      <c r="E5" s="734"/>
      <c r="F5" s="734"/>
      <c r="G5" s="734"/>
      <c r="H5" s="734"/>
      <c r="I5" s="734"/>
      <c r="J5" s="734"/>
      <c r="K5" s="734"/>
      <c r="L5" s="734"/>
      <c r="M5" s="734"/>
      <c r="N5" s="734"/>
      <c r="O5" s="734"/>
      <c r="P5" s="734"/>
      <c r="Q5" s="734"/>
      <c r="R5" s="735"/>
      <c r="S5" s="739"/>
      <c r="T5" s="773"/>
      <c r="U5" s="774"/>
      <c r="V5" s="734"/>
      <c r="W5" s="734"/>
      <c r="X5" s="734"/>
      <c r="Y5" s="734"/>
      <c r="Z5" s="734"/>
      <c r="AA5" s="734"/>
      <c r="AB5" s="734"/>
      <c r="AC5" s="734"/>
      <c r="AD5" s="734"/>
      <c r="AE5" s="734"/>
      <c r="AF5" s="734">
        <v>258784</v>
      </c>
      <c r="AG5" s="734">
        <f>AF5</f>
        <v>258784</v>
      </c>
      <c r="AH5" s="734"/>
      <c r="AI5" s="734"/>
      <c r="AJ5" s="734"/>
      <c r="AK5" s="734"/>
      <c r="AL5" s="734"/>
      <c r="AM5" s="734"/>
      <c r="AN5" s="734"/>
      <c r="AO5" s="734"/>
      <c r="AP5" s="734"/>
      <c r="AQ5" s="734"/>
      <c r="AR5" s="734"/>
      <c r="AS5" s="734"/>
      <c r="AT5" s="734"/>
      <c r="AU5" s="739"/>
      <c r="AV5" s="773">
        <f t="shared" ref="AV5:AV14" si="0">SUM(B5+D5+F5+H5+J5+L5+N5+P5+R5+T5+V5+X5+Z5+AB5+AD5+AF5+AH5+AJ5+AL5+AN5+AP5+AR5+AT5)</f>
        <v>941704</v>
      </c>
      <c r="AW5" s="774">
        <f t="shared" ref="AW5:AW14" si="1">SUM(C5+E5+G5+I5+K5+M5+O5+Q5+S5+U5+W5+Y5+AA5+AC5+AE5+AG5+AI5+AK5+AM5+AO5+AQ5+AS5+AU5)</f>
        <v>941704</v>
      </c>
      <c r="AX5" s="734"/>
      <c r="AY5" s="739"/>
      <c r="AZ5" s="773">
        <f t="shared" ref="AZ5:AZ14" si="2">AV5+AX5</f>
        <v>941704</v>
      </c>
      <c r="BA5" s="774">
        <f t="shared" ref="BA5:BA14" si="3">AW5+AY5</f>
        <v>941704</v>
      </c>
    </row>
    <row r="6" spans="1:53">
      <c r="A6" s="548" t="s">
        <v>255</v>
      </c>
      <c r="B6" s="773">
        <v>2000028</v>
      </c>
      <c r="C6" s="774">
        <v>2000028</v>
      </c>
      <c r="D6" s="740">
        <v>6466905</v>
      </c>
      <c r="E6" s="740">
        <v>7674705</v>
      </c>
      <c r="F6" s="734"/>
      <c r="G6" s="734"/>
      <c r="H6" s="734">
        <v>10599550</v>
      </c>
      <c r="I6" s="734">
        <v>10599550</v>
      </c>
      <c r="J6" s="734">
        <v>2074442</v>
      </c>
      <c r="K6" s="734">
        <f>J6</f>
        <v>2074442</v>
      </c>
      <c r="L6" s="734">
        <v>1250000</v>
      </c>
      <c r="M6" s="734">
        <f>L6</f>
        <v>1250000</v>
      </c>
      <c r="N6" s="734">
        <v>8329217</v>
      </c>
      <c r="O6" s="734">
        <f>N6</f>
        <v>8329217</v>
      </c>
      <c r="P6" s="734">
        <v>16848478</v>
      </c>
      <c r="Q6" s="734">
        <f>P6</f>
        <v>16848478</v>
      </c>
      <c r="R6" s="735"/>
      <c r="S6" s="739"/>
      <c r="T6" s="773"/>
      <c r="U6" s="774"/>
      <c r="V6" s="734">
        <f>3127498+554741</f>
        <v>3682239</v>
      </c>
      <c r="W6" s="734">
        <v>4058978</v>
      </c>
      <c r="X6" s="734">
        <v>34284090</v>
      </c>
      <c r="Y6" s="734">
        <v>34292300</v>
      </c>
      <c r="Z6" s="734"/>
      <c r="AA6" s="734"/>
      <c r="AB6" s="734">
        <v>1300000</v>
      </c>
      <c r="AC6" s="734">
        <v>2700000</v>
      </c>
      <c r="AD6" s="734">
        <v>520363</v>
      </c>
      <c r="AE6" s="734">
        <f>AD6</f>
        <v>520363</v>
      </c>
      <c r="AF6" s="734">
        <v>680913</v>
      </c>
      <c r="AG6" s="734">
        <f>AF6</f>
        <v>680913</v>
      </c>
      <c r="AH6" s="734"/>
      <c r="AI6" s="734"/>
      <c r="AJ6" s="734">
        <v>3031592</v>
      </c>
      <c r="AK6" s="734">
        <f>AJ6</f>
        <v>3031592</v>
      </c>
      <c r="AL6" s="734"/>
      <c r="AM6" s="734"/>
      <c r="AN6" s="734"/>
      <c r="AO6" s="734">
        <v>22078</v>
      </c>
      <c r="AP6" s="734">
        <f>61250-55735</f>
        <v>5515</v>
      </c>
      <c r="AQ6" s="734">
        <v>10705</v>
      </c>
      <c r="AR6" s="734">
        <v>2686056</v>
      </c>
      <c r="AS6" s="734">
        <f>AR6</f>
        <v>2686056</v>
      </c>
      <c r="AT6" s="734"/>
      <c r="AU6" s="739"/>
      <c r="AV6" s="773">
        <f t="shared" si="0"/>
        <v>93759388</v>
      </c>
      <c r="AW6" s="774">
        <f t="shared" si="1"/>
        <v>96779405</v>
      </c>
      <c r="AX6" s="734"/>
      <c r="AY6" s="739"/>
      <c r="AZ6" s="773">
        <f t="shared" si="2"/>
        <v>93759388</v>
      </c>
      <c r="BA6" s="774">
        <f t="shared" si="3"/>
        <v>96779405</v>
      </c>
    </row>
    <row r="7" spans="1:53">
      <c r="A7" s="548" t="s">
        <v>256</v>
      </c>
      <c r="B7" s="773"/>
      <c r="C7" s="774"/>
      <c r="D7" s="740"/>
      <c r="E7" s="740"/>
      <c r="F7" s="734"/>
      <c r="G7" s="734"/>
      <c r="H7" s="734">
        <v>403626</v>
      </c>
      <c r="I7" s="734">
        <v>476529</v>
      </c>
      <c r="J7" s="734">
        <v>47862</v>
      </c>
      <c r="K7" s="734">
        <v>46892</v>
      </c>
      <c r="L7" s="734"/>
      <c r="M7" s="734"/>
      <c r="N7" s="734"/>
      <c r="O7" s="734"/>
      <c r="P7" s="734"/>
      <c r="Q7" s="734">
        <v>34144</v>
      </c>
      <c r="R7" s="735"/>
      <c r="S7" s="739"/>
      <c r="T7" s="773"/>
      <c r="U7" s="774"/>
      <c r="V7" s="734"/>
      <c r="W7" s="734"/>
      <c r="X7" s="734">
        <v>233264</v>
      </c>
      <c r="Y7" s="734">
        <v>258513</v>
      </c>
      <c r="Z7" s="734"/>
      <c r="AA7" s="734"/>
      <c r="AB7" s="734"/>
      <c r="AC7" s="734"/>
      <c r="AD7" s="734"/>
      <c r="AE7" s="734"/>
      <c r="AF7" s="734"/>
      <c r="AG7" s="734"/>
      <c r="AH7" s="734"/>
      <c r="AI7" s="734"/>
      <c r="AJ7" s="734"/>
      <c r="AK7" s="734"/>
      <c r="AL7" s="734"/>
      <c r="AM7" s="734"/>
      <c r="AN7" s="734"/>
      <c r="AO7" s="734"/>
      <c r="AP7" s="734"/>
      <c r="AQ7" s="734"/>
      <c r="AR7" s="734"/>
      <c r="AS7" s="734"/>
      <c r="AT7" s="734">
        <v>259637</v>
      </c>
      <c r="AU7" s="739">
        <f>AT7</f>
        <v>259637</v>
      </c>
      <c r="AV7" s="773">
        <f t="shared" si="0"/>
        <v>944389</v>
      </c>
      <c r="AW7" s="774">
        <f t="shared" si="1"/>
        <v>1075715</v>
      </c>
      <c r="AX7" s="734"/>
      <c r="AY7" s="739"/>
      <c r="AZ7" s="773">
        <f t="shared" si="2"/>
        <v>944389</v>
      </c>
      <c r="BA7" s="774">
        <f t="shared" si="3"/>
        <v>1075715</v>
      </c>
    </row>
    <row r="8" spans="1:53">
      <c r="A8" s="548" t="s">
        <v>257</v>
      </c>
      <c r="B8" s="773"/>
      <c r="C8" s="774"/>
      <c r="D8" s="740"/>
      <c r="E8" s="740"/>
      <c r="F8" s="734"/>
      <c r="G8" s="734"/>
      <c r="H8" s="734"/>
      <c r="I8" s="734"/>
      <c r="J8" s="734"/>
      <c r="K8" s="734"/>
      <c r="L8" s="734"/>
      <c r="M8" s="734"/>
      <c r="N8" s="734"/>
      <c r="O8" s="734"/>
      <c r="P8" s="734"/>
      <c r="Q8" s="734"/>
      <c r="R8" s="735"/>
      <c r="S8" s="739"/>
      <c r="T8" s="773"/>
      <c r="U8" s="774"/>
      <c r="V8" s="734"/>
      <c r="W8" s="734"/>
      <c r="X8" s="734"/>
      <c r="Y8" s="734"/>
      <c r="Z8" s="734"/>
      <c r="AA8" s="734"/>
      <c r="AB8" s="734"/>
      <c r="AC8" s="734"/>
      <c r="AD8" s="734"/>
      <c r="AE8" s="734"/>
      <c r="AF8" s="734"/>
      <c r="AG8" s="734"/>
      <c r="AH8" s="734"/>
      <c r="AI8" s="734"/>
      <c r="AJ8" s="734"/>
      <c r="AK8" s="734"/>
      <c r="AL8" s="734"/>
      <c r="AM8" s="734"/>
      <c r="AN8" s="734"/>
      <c r="AO8" s="734"/>
      <c r="AP8" s="734"/>
      <c r="AQ8" s="734"/>
      <c r="AR8" s="734"/>
      <c r="AS8" s="734"/>
      <c r="AT8" s="734"/>
      <c r="AU8" s="739"/>
      <c r="AV8" s="773">
        <f t="shared" si="0"/>
        <v>0</v>
      </c>
      <c r="AW8" s="774">
        <f t="shared" si="1"/>
        <v>0</v>
      </c>
      <c r="AX8" s="734">
        <v>5586161</v>
      </c>
      <c r="AY8" s="739">
        <v>6254907</v>
      </c>
      <c r="AZ8" s="773">
        <f t="shared" si="2"/>
        <v>5586161</v>
      </c>
      <c r="BA8" s="774">
        <f t="shared" si="3"/>
        <v>6254907</v>
      </c>
    </row>
    <row r="9" spans="1:53">
      <c r="A9" s="548" t="s">
        <v>258</v>
      </c>
      <c r="B9" s="773"/>
      <c r="C9" s="774">
        <v>406127</v>
      </c>
      <c r="D9" s="740"/>
      <c r="E9" s="740"/>
      <c r="F9" s="734"/>
      <c r="G9" s="734"/>
      <c r="H9" s="734"/>
      <c r="I9" s="734"/>
      <c r="J9" s="734"/>
      <c r="K9" s="734"/>
      <c r="L9" s="734"/>
      <c r="M9" s="734"/>
      <c r="N9" s="734"/>
      <c r="O9" s="734"/>
      <c r="P9" s="734"/>
      <c r="Q9" s="734"/>
      <c r="R9" s="735"/>
      <c r="S9" s="739"/>
      <c r="T9" s="773"/>
      <c r="U9" s="774"/>
      <c r="V9" s="734"/>
      <c r="W9" s="734"/>
      <c r="X9" s="734"/>
      <c r="Y9" s="734"/>
      <c r="Z9" s="734"/>
      <c r="AA9" s="734"/>
      <c r="AB9" s="734"/>
      <c r="AC9" s="734"/>
      <c r="AD9" s="734"/>
      <c r="AE9" s="734"/>
      <c r="AF9" s="734"/>
      <c r="AG9" s="734"/>
      <c r="AH9" s="734"/>
      <c r="AI9" s="734"/>
      <c r="AJ9" s="734"/>
      <c r="AK9" s="734"/>
      <c r="AL9" s="734"/>
      <c r="AM9" s="734"/>
      <c r="AN9" s="734"/>
      <c r="AO9" s="734"/>
      <c r="AP9" s="734"/>
      <c r="AQ9" s="734"/>
      <c r="AR9" s="734"/>
      <c r="AS9" s="734"/>
      <c r="AT9" s="734"/>
      <c r="AU9" s="739"/>
      <c r="AV9" s="773">
        <f t="shared" si="0"/>
        <v>0</v>
      </c>
      <c r="AW9" s="774">
        <f t="shared" si="1"/>
        <v>406127</v>
      </c>
      <c r="AX9" s="734"/>
      <c r="AY9" s="739"/>
      <c r="AZ9" s="773">
        <f t="shared" si="2"/>
        <v>0</v>
      </c>
      <c r="BA9" s="774">
        <f t="shared" si="3"/>
        <v>406127</v>
      </c>
    </row>
    <row r="10" spans="1:53">
      <c r="A10" s="548" t="s">
        <v>259</v>
      </c>
      <c r="B10" s="773"/>
      <c r="C10" s="774"/>
      <c r="D10" s="740"/>
      <c r="E10" s="740"/>
      <c r="F10" s="734"/>
      <c r="G10" s="734"/>
      <c r="H10" s="734"/>
      <c r="I10" s="734"/>
      <c r="J10" s="734"/>
      <c r="K10" s="734"/>
      <c r="L10" s="734"/>
      <c r="M10" s="734"/>
      <c r="N10" s="734"/>
      <c r="O10" s="734"/>
      <c r="P10" s="734"/>
      <c r="Q10" s="734"/>
      <c r="R10" s="735"/>
      <c r="S10" s="739"/>
      <c r="T10" s="773"/>
      <c r="U10" s="774"/>
      <c r="V10" s="734"/>
      <c r="W10" s="734"/>
      <c r="X10" s="734"/>
      <c r="Y10" s="734"/>
      <c r="Z10" s="734"/>
      <c r="AA10" s="734"/>
      <c r="AB10" s="734"/>
      <c r="AC10" s="734"/>
      <c r="AD10" s="734"/>
      <c r="AE10" s="734"/>
      <c r="AF10" s="734"/>
      <c r="AG10" s="734"/>
      <c r="AH10" s="734"/>
      <c r="AI10" s="734"/>
      <c r="AJ10" s="734"/>
      <c r="AK10" s="734"/>
      <c r="AL10" s="734"/>
      <c r="AM10" s="734"/>
      <c r="AN10" s="734"/>
      <c r="AO10" s="734"/>
      <c r="AP10" s="734"/>
      <c r="AQ10" s="734"/>
      <c r="AR10" s="734"/>
      <c r="AS10" s="734"/>
      <c r="AT10" s="734"/>
      <c r="AU10" s="739"/>
      <c r="AV10" s="773">
        <f t="shared" si="0"/>
        <v>0</v>
      </c>
      <c r="AW10" s="774">
        <f t="shared" si="1"/>
        <v>0</v>
      </c>
      <c r="AX10" s="734"/>
      <c r="AY10" s="739"/>
      <c r="AZ10" s="773">
        <f t="shared" si="2"/>
        <v>0</v>
      </c>
      <c r="BA10" s="774">
        <f t="shared" si="3"/>
        <v>0</v>
      </c>
    </row>
    <row r="11" spans="1:53">
      <c r="A11" s="548" t="s">
        <v>260</v>
      </c>
      <c r="B11" s="773"/>
      <c r="C11" s="774"/>
      <c r="D11" s="740"/>
      <c r="E11" s="740"/>
      <c r="F11" s="734"/>
      <c r="G11" s="734"/>
      <c r="H11" s="734"/>
      <c r="I11" s="734"/>
      <c r="J11" s="734"/>
      <c r="K11" s="734"/>
      <c r="L11" s="734"/>
      <c r="M11" s="734"/>
      <c r="N11" s="734"/>
      <c r="O11" s="734"/>
      <c r="P11" s="734"/>
      <c r="Q11" s="734"/>
      <c r="R11" s="735"/>
      <c r="S11" s="739"/>
      <c r="T11" s="773"/>
      <c r="U11" s="774"/>
      <c r="V11" s="734"/>
      <c r="W11" s="734"/>
      <c r="X11" s="734"/>
      <c r="Y11" s="734"/>
      <c r="Z11" s="734"/>
      <c r="AA11" s="734"/>
      <c r="AB11" s="734"/>
      <c r="AC11" s="734"/>
      <c r="AD11" s="734"/>
      <c r="AE11" s="734"/>
      <c r="AF11" s="734"/>
      <c r="AG11" s="734"/>
      <c r="AH11" s="734"/>
      <c r="AI11" s="734"/>
      <c r="AJ11" s="734"/>
      <c r="AK11" s="734"/>
      <c r="AL11" s="734"/>
      <c r="AM11" s="734"/>
      <c r="AN11" s="734"/>
      <c r="AO11" s="734"/>
      <c r="AP11" s="734"/>
      <c r="AQ11" s="734"/>
      <c r="AR11" s="734"/>
      <c r="AS11" s="734"/>
      <c r="AT11" s="734"/>
      <c r="AU11" s="739"/>
      <c r="AV11" s="773">
        <f t="shared" si="0"/>
        <v>0</v>
      </c>
      <c r="AW11" s="774">
        <f t="shared" si="1"/>
        <v>0</v>
      </c>
      <c r="AX11" s="734"/>
      <c r="AY11" s="739"/>
      <c r="AZ11" s="773">
        <f t="shared" si="2"/>
        <v>0</v>
      </c>
      <c r="BA11" s="774">
        <f t="shared" si="3"/>
        <v>0</v>
      </c>
    </row>
    <row r="12" spans="1:53">
      <c r="A12" s="548" t="s">
        <v>261</v>
      </c>
      <c r="B12" s="773"/>
      <c r="C12" s="774"/>
      <c r="D12" s="740"/>
      <c r="E12" s="740"/>
      <c r="F12" s="734"/>
      <c r="G12" s="734"/>
      <c r="H12" s="734"/>
      <c r="I12" s="734"/>
      <c r="J12" s="734"/>
      <c r="K12" s="734"/>
      <c r="L12" s="734"/>
      <c r="M12" s="734"/>
      <c r="N12" s="734"/>
      <c r="O12" s="734"/>
      <c r="P12" s="734"/>
      <c r="Q12" s="734"/>
      <c r="R12" s="735"/>
      <c r="S12" s="739"/>
      <c r="T12" s="773"/>
      <c r="U12" s="774"/>
      <c r="V12" s="734"/>
      <c r="W12" s="734"/>
      <c r="X12" s="734"/>
      <c r="Y12" s="734"/>
      <c r="Z12" s="734"/>
      <c r="AA12" s="734"/>
      <c r="AB12" s="734">
        <v>100000</v>
      </c>
      <c r="AC12" s="734">
        <v>100000</v>
      </c>
      <c r="AD12" s="734"/>
      <c r="AE12" s="734"/>
      <c r="AF12" s="734">
        <v>683222</v>
      </c>
      <c r="AG12" s="734">
        <v>871749</v>
      </c>
      <c r="AH12" s="734"/>
      <c r="AI12" s="734"/>
      <c r="AJ12" s="734"/>
      <c r="AK12" s="734"/>
      <c r="AL12" s="734"/>
      <c r="AM12" s="734"/>
      <c r="AN12" s="734"/>
      <c r="AO12" s="734">
        <v>1530</v>
      </c>
      <c r="AP12" s="734"/>
      <c r="AQ12" s="734"/>
      <c r="AR12" s="734"/>
      <c r="AS12" s="734"/>
      <c r="AT12" s="734"/>
      <c r="AU12" s="739"/>
      <c r="AV12" s="773">
        <f t="shared" si="0"/>
        <v>783222</v>
      </c>
      <c r="AW12" s="774">
        <f t="shared" si="1"/>
        <v>973279</v>
      </c>
      <c r="AX12" s="734">
        <v>-8604</v>
      </c>
      <c r="AY12" s="739">
        <v>-7589</v>
      </c>
      <c r="AZ12" s="773">
        <f t="shared" si="2"/>
        <v>774618</v>
      </c>
      <c r="BA12" s="774">
        <f t="shared" si="3"/>
        <v>965690</v>
      </c>
    </row>
    <row r="13" spans="1:53">
      <c r="A13" s="548" t="s">
        <v>262</v>
      </c>
      <c r="B13" s="773"/>
      <c r="C13" s="774">
        <v>70592</v>
      </c>
      <c r="D13" s="740"/>
      <c r="E13" s="740"/>
      <c r="F13" s="734"/>
      <c r="G13" s="734"/>
      <c r="H13" s="734">
        <v>84010774</v>
      </c>
      <c r="I13" s="734">
        <v>87917914</v>
      </c>
      <c r="J13" s="734"/>
      <c r="K13" s="734"/>
      <c r="L13" s="734">
        <v>315073</v>
      </c>
      <c r="M13" s="734">
        <v>612391</v>
      </c>
      <c r="N13" s="734"/>
      <c r="O13" s="734"/>
      <c r="P13" s="734"/>
      <c r="Q13" s="734"/>
      <c r="R13" s="735"/>
      <c r="S13" s="739"/>
      <c r="T13" s="773"/>
      <c r="U13" s="774"/>
      <c r="V13" s="734">
        <v>36986437</v>
      </c>
      <c r="W13" s="734">
        <v>50203814</v>
      </c>
      <c r="X13" s="734">
        <v>22689110</v>
      </c>
      <c r="Y13" s="734">
        <v>29313264</v>
      </c>
      <c r="Z13" s="734">
        <v>246643</v>
      </c>
      <c r="AA13" s="734">
        <v>1254401</v>
      </c>
      <c r="AB13" s="734"/>
      <c r="AC13" s="734"/>
      <c r="AD13" s="734">
        <v>22204408</v>
      </c>
      <c r="AE13" s="734">
        <v>28378921</v>
      </c>
      <c r="AF13" s="734">
        <v>5182919</v>
      </c>
      <c r="AG13" s="734">
        <v>6894011</v>
      </c>
      <c r="AH13" s="734"/>
      <c r="AI13" s="734"/>
      <c r="AJ13" s="734"/>
      <c r="AK13" s="734"/>
      <c r="AL13" s="734"/>
      <c r="AM13" s="734"/>
      <c r="AN13" s="734">
        <v>68320448</v>
      </c>
      <c r="AO13" s="734">
        <v>82732123</v>
      </c>
      <c r="AP13" s="734">
        <v>4430254</v>
      </c>
      <c r="AQ13" s="734">
        <v>4740310</v>
      </c>
      <c r="AR13" s="734">
        <v>597285</v>
      </c>
      <c r="AS13" s="734">
        <v>1356052</v>
      </c>
      <c r="AT13" s="734">
        <v>357295</v>
      </c>
      <c r="AU13" s="739">
        <v>718558</v>
      </c>
      <c r="AV13" s="773">
        <f t="shared" si="0"/>
        <v>245340646</v>
      </c>
      <c r="AW13" s="774">
        <f t="shared" si="1"/>
        <v>294192351</v>
      </c>
      <c r="AX13" s="734"/>
      <c r="AY13" s="739"/>
      <c r="AZ13" s="773">
        <f t="shared" si="2"/>
        <v>245340646</v>
      </c>
      <c r="BA13" s="774">
        <f t="shared" si="3"/>
        <v>294192351</v>
      </c>
    </row>
    <row r="14" spans="1:53" s="546" customFormat="1" ht="17.25" thickBot="1">
      <c r="A14" s="779" t="s">
        <v>54</v>
      </c>
      <c r="B14" s="775">
        <f t="shared" ref="B14:AY14" si="4">SUM(B4:B13)</f>
        <v>2682948</v>
      </c>
      <c r="C14" s="544">
        <f t="shared" si="4"/>
        <v>3159667</v>
      </c>
      <c r="D14" s="543">
        <f t="shared" si="4"/>
        <v>6466905</v>
      </c>
      <c r="E14" s="544">
        <f t="shared" si="4"/>
        <v>7674705</v>
      </c>
      <c r="F14" s="544">
        <f t="shared" si="4"/>
        <v>0</v>
      </c>
      <c r="G14" s="544">
        <f t="shared" si="4"/>
        <v>0</v>
      </c>
      <c r="H14" s="544">
        <f t="shared" si="4"/>
        <v>95013950</v>
      </c>
      <c r="I14" s="544">
        <f t="shared" si="4"/>
        <v>98993993</v>
      </c>
      <c r="J14" s="544">
        <f t="shared" si="4"/>
        <v>2122304</v>
      </c>
      <c r="K14" s="544">
        <f t="shared" si="4"/>
        <v>2121334</v>
      </c>
      <c r="L14" s="544">
        <f t="shared" si="4"/>
        <v>1565073</v>
      </c>
      <c r="M14" s="544">
        <f t="shared" si="4"/>
        <v>1862391</v>
      </c>
      <c r="N14" s="544">
        <f t="shared" si="4"/>
        <v>8329217</v>
      </c>
      <c r="O14" s="544">
        <f t="shared" si="4"/>
        <v>8329217</v>
      </c>
      <c r="P14" s="544">
        <f t="shared" si="4"/>
        <v>16848478</v>
      </c>
      <c r="Q14" s="544">
        <f t="shared" si="4"/>
        <v>16882622</v>
      </c>
      <c r="R14" s="544">
        <f t="shared" si="4"/>
        <v>0</v>
      </c>
      <c r="S14" s="545">
        <f t="shared" si="4"/>
        <v>0</v>
      </c>
      <c r="T14" s="775">
        <f t="shared" si="4"/>
        <v>0</v>
      </c>
      <c r="U14" s="544">
        <f t="shared" si="4"/>
        <v>0</v>
      </c>
      <c r="V14" s="543">
        <f t="shared" si="4"/>
        <v>40668676</v>
      </c>
      <c r="W14" s="543">
        <f t="shared" si="4"/>
        <v>54262792</v>
      </c>
      <c r="X14" s="543">
        <f t="shared" si="4"/>
        <v>57206464</v>
      </c>
      <c r="Y14" s="543">
        <f t="shared" si="4"/>
        <v>63864077</v>
      </c>
      <c r="Z14" s="543">
        <f t="shared" si="4"/>
        <v>246643</v>
      </c>
      <c r="AA14" s="543">
        <f t="shared" si="4"/>
        <v>1254401</v>
      </c>
      <c r="AB14" s="543">
        <f t="shared" si="4"/>
        <v>1400000</v>
      </c>
      <c r="AC14" s="543">
        <f t="shared" si="4"/>
        <v>2800000</v>
      </c>
      <c r="AD14" s="543">
        <f t="shared" si="4"/>
        <v>22724771</v>
      </c>
      <c r="AE14" s="543">
        <f t="shared" si="4"/>
        <v>28899284</v>
      </c>
      <c r="AF14" s="543">
        <f t="shared" si="4"/>
        <v>6805838</v>
      </c>
      <c r="AG14" s="543">
        <f t="shared" si="4"/>
        <v>8705457</v>
      </c>
      <c r="AH14" s="543">
        <f t="shared" si="4"/>
        <v>0</v>
      </c>
      <c r="AI14" s="543">
        <f t="shared" si="4"/>
        <v>0</v>
      </c>
      <c r="AJ14" s="543">
        <f t="shared" si="4"/>
        <v>3031592</v>
      </c>
      <c r="AK14" s="543">
        <f t="shared" si="4"/>
        <v>3031592</v>
      </c>
      <c r="AL14" s="543">
        <f t="shared" si="4"/>
        <v>0</v>
      </c>
      <c r="AM14" s="543">
        <f t="shared" si="4"/>
        <v>0</v>
      </c>
      <c r="AN14" s="543">
        <f t="shared" si="4"/>
        <v>68320448</v>
      </c>
      <c r="AO14" s="543">
        <f t="shared" si="4"/>
        <v>82755731</v>
      </c>
      <c r="AP14" s="543">
        <f t="shared" si="4"/>
        <v>4435769</v>
      </c>
      <c r="AQ14" s="543">
        <f t="shared" si="4"/>
        <v>4751015</v>
      </c>
      <c r="AR14" s="543">
        <f t="shared" si="4"/>
        <v>3283341</v>
      </c>
      <c r="AS14" s="543">
        <f t="shared" si="4"/>
        <v>4042108</v>
      </c>
      <c r="AT14" s="544">
        <f t="shared" si="4"/>
        <v>616932</v>
      </c>
      <c r="AU14" s="545">
        <f t="shared" si="4"/>
        <v>978195</v>
      </c>
      <c r="AV14" s="835">
        <f t="shared" si="0"/>
        <v>341769349</v>
      </c>
      <c r="AW14" s="836">
        <f t="shared" si="1"/>
        <v>394368581</v>
      </c>
      <c r="AX14" s="543">
        <f t="shared" si="4"/>
        <v>5577557</v>
      </c>
      <c r="AY14" s="545">
        <f t="shared" si="4"/>
        <v>6247318</v>
      </c>
      <c r="AZ14" s="835">
        <f t="shared" si="2"/>
        <v>347346906</v>
      </c>
      <c r="BA14" s="836">
        <f t="shared" si="3"/>
        <v>400615899</v>
      </c>
    </row>
  </sheetData>
  <mergeCells count="28">
    <mergeCell ref="AZ2:BA2"/>
    <mergeCell ref="AX2:AY2"/>
    <mergeCell ref="AV2:AW2"/>
    <mergeCell ref="AD2:AE2"/>
    <mergeCell ref="AF2:AG2"/>
    <mergeCell ref="AH2:AI2"/>
    <mergeCell ref="AT2:AU2"/>
    <mergeCell ref="AR2:AS2"/>
    <mergeCell ref="AP2:AQ2"/>
    <mergeCell ref="AN2:AO2"/>
    <mergeCell ref="AL2:AM2"/>
    <mergeCell ref="AJ2:AK2"/>
    <mergeCell ref="R2:S2"/>
    <mergeCell ref="T2:U2"/>
    <mergeCell ref="V2:W2"/>
    <mergeCell ref="X2:Y2"/>
    <mergeCell ref="Z2:AA2"/>
    <mergeCell ref="AB2:AC2"/>
    <mergeCell ref="A2:A3"/>
    <mergeCell ref="A1:AZ1"/>
    <mergeCell ref="B2:C2"/>
    <mergeCell ref="D2:E2"/>
    <mergeCell ref="F2:G2"/>
    <mergeCell ref="H2:I2"/>
    <mergeCell ref="L2:M2"/>
    <mergeCell ref="J2:K2"/>
    <mergeCell ref="N2:O2"/>
    <mergeCell ref="P2:Q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8"/>
  <sheetViews>
    <sheetView workbookViewId="0">
      <pane xSplit="1" topLeftCell="G1" activePane="topRight" state="frozen"/>
      <selection pane="topRight" activeCell="G4" sqref="G4"/>
    </sheetView>
    <sheetView workbookViewId="1">
      <pane xSplit="1" topLeftCell="M1" activePane="topRight" state="frozen"/>
      <selection pane="topRight" activeCell="R8" sqref="R8"/>
    </sheetView>
  </sheetViews>
  <sheetFormatPr defaultRowHeight="16.5"/>
  <cols>
    <col min="1" max="1" width="50" style="94" bestFit="1" customWidth="1"/>
    <col min="2" max="4" width="10.42578125" style="94" bestFit="1" customWidth="1"/>
    <col min="5" max="5" width="10.42578125" style="94" customWidth="1"/>
    <col min="6" max="13" width="10.42578125" style="94" bestFit="1" customWidth="1"/>
    <col min="14" max="14" width="10.42578125" style="94" customWidth="1"/>
    <col min="15" max="15" width="10.42578125" style="94" bestFit="1" customWidth="1"/>
    <col min="16" max="17" width="10.42578125" style="94" customWidth="1"/>
    <col min="18" max="18" width="11" style="94" bestFit="1" customWidth="1"/>
    <col min="19" max="25" width="10.42578125" style="94" bestFit="1" customWidth="1"/>
    <col min="26" max="26" width="10.42578125" style="94" customWidth="1"/>
    <col min="27" max="27" width="10.42578125" style="94" bestFit="1" customWidth="1"/>
    <col min="28" max="16384" width="9.140625" style="94"/>
  </cols>
  <sheetData>
    <row r="1" spans="1:27" s="427" customFormat="1" ht="17.25" thickBot="1">
      <c r="A1" s="428" t="s">
        <v>267</v>
      </c>
    </row>
    <row r="2" spans="1:27" ht="129" thickBot="1">
      <c r="A2" s="1266" t="s">
        <v>0</v>
      </c>
      <c r="B2" s="588" t="s">
        <v>164</v>
      </c>
      <c r="C2" s="644" t="s">
        <v>165</v>
      </c>
      <c r="D2" s="644" t="s">
        <v>166</v>
      </c>
      <c r="E2" s="644" t="s">
        <v>167</v>
      </c>
      <c r="F2" s="644" t="s">
        <v>168</v>
      </c>
      <c r="G2" s="644" t="s">
        <v>169</v>
      </c>
      <c r="H2" s="644" t="s">
        <v>170</v>
      </c>
      <c r="I2" s="644" t="s">
        <v>171</v>
      </c>
      <c r="J2" s="644" t="s">
        <v>172</v>
      </c>
      <c r="K2" s="644" t="s">
        <v>173</v>
      </c>
      <c r="L2" s="644" t="s">
        <v>174</v>
      </c>
      <c r="M2" s="644" t="s">
        <v>175</v>
      </c>
      <c r="N2" s="644" t="s">
        <v>176</v>
      </c>
      <c r="O2" s="644" t="s">
        <v>177</v>
      </c>
      <c r="P2" s="644" t="s">
        <v>178</v>
      </c>
      <c r="Q2" s="644" t="s">
        <v>179</v>
      </c>
      <c r="R2" s="644" t="s">
        <v>180</v>
      </c>
      <c r="S2" s="644" t="s">
        <v>181</v>
      </c>
      <c r="T2" s="644" t="s">
        <v>182</v>
      </c>
      <c r="U2" s="644" t="s">
        <v>183</v>
      </c>
      <c r="V2" s="644" t="s">
        <v>184</v>
      </c>
      <c r="W2" s="644" t="s">
        <v>185</v>
      </c>
      <c r="X2" s="644" t="s">
        <v>186</v>
      </c>
      <c r="Y2" s="644" t="s">
        <v>1</v>
      </c>
      <c r="Z2" s="644" t="s">
        <v>187</v>
      </c>
      <c r="AA2" s="644" t="s">
        <v>2</v>
      </c>
    </row>
    <row r="3" spans="1:27" s="472" customFormat="1" ht="31.5" customHeight="1" thickBot="1">
      <c r="A3" s="1267"/>
      <c r="B3" s="589" t="s">
        <v>365</v>
      </c>
      <c r="C3" s="589" t="s">
        <v>365</v>
      </c>
      <c r="D3" s="589" t="s">
        <v>365</v>
      </c>
      <c r="E3" s="589" t="s">
        <v>365</v>
      </c>
      <c r="F3" s="589" t="s">
        <v>365</v>
      </c>
      <c r="G3" s="589" t="s">
        <v>365</v>
      </c>
      <c r="H3" s="589" t="s">
        <v>365</v>
      </c>
      <c r="I3" s="589" t="s">
        <v>365</v>
      </c>
      <c r="J3" s="589" t="s">
        <v>365</v>
      </c>
      <c r="K3" s="589" t="s">
        <v>365</v>
      </c>
      <c r="L3" s="589" t="s">
        <v>365</v>
      </c>
      <c r="M3" s="589" t="s">
        <v>365</v>
      </c>
      <c r="N3" s="589" t="s">
        <v>365</v>
      </c>
      <c r="O3" s="589" t="s">
        <v>365</v>
      </c>
      <c r="P3" s="589" t="s">
        <v>365</v>
      </c>
      <c r="Q3" s="589" t="s">
        <v>365</v>
      </c>
      <c r="R3" s="589" t="s">
        <v>365</v>
      </c>
      <c r="S3" s="589" t="s">
        <v>365</v>
      </c>
      <c r="T3" s="589" t="s">
        <v>365</v>
      </c>
      <c r="U3" s="589" t="s">
        <v>365</v>
      </c>
      <c r="V3" s="589" t="s">
        <v>365</v>
      </c>
      <c r="W3" s="589" t="s">
        <v>365</v>
      </c>
      <c r="X3" s="589" t="s">
        <v>365</v>
      </c>
      <c r="Y3" s="589" t="s">
        <v>365</v>
      </c>
      <c r="Z3" s="589" t="s">
        <v>365</v>
      </c>
      <c r="AA3" s="589" t="s">
        <v>365</v>
      </c>
    </row>
    <row r="4" spans="1:27" s="935" customFormat="1">
      <c r="A4" s="1185" t="s">
        <v>263</v>
      </c>
      <c r="B4" s="1186">
        <v>0</v>
      </c>
      <c r="C4" s="1186">
        <v>700000</v>
      </c>
      <c r="D4" s="1186">
        <v>0</v>
      </c>
      <c r="E4" s="1186">
        <v>0</v>
      </c>
      <c r="F4" s="1186">
        <v>600000</v>
      </c>
      <c r="G4" s="1186">
        <v>0</v>
      </c>
      <c r="H4" s="1186">
        <v>0</v>
      </c>
      <c r="I4" s="1186">
        <v>0</v>
      </c>
      <c r="J4" s="1186">
        <v>0</v>
      </c>
      <c r="K4" s="1186">
        <v>0</v>
      </c>
      <c r="L4" s="1186">
        <v>0</v>
      </c>
      <c r="M4" s="1186">
        <v>0</v>
      </c>
      <c r="N4" s="1186">
        <v>0</v>
      </c>
      <c r="O4" s="1186">
        <v>1000000</v>
      </c>
      <c r="P4" s="1186">
        <v>0</v>
      </c>
      <c r="Q4" s="1186">
        <v>0</v>
      </c>
      <c r="R4" s="1186">
        <v>0</v>
      </c>
      <c r="S4" s="1186">
        <v>0</v>
      </c>
      <c r="T4" s="1186"/>
      <c r="U4" s="1186">
        <v>0</v>
      </c>
      <c r="V4" s="1186">
        <v>0</v>
      </c>
      <c r="W4" s="937">
        <v>0</v>
      </c>
      <c r="X4" s="936">
        <v>0</v>
      </c>
      <c r="Y4" s="1186">
        <f>SUM(B4:X4)</f>
        <v>2300000</v>
      </c>
      <c r="Z4" s="1187">
        <v>0</v>
      </c>
      <c r="AA4" s="1188">
        <f>SUM(Y4+Z4)</f>
        <v>2300000</v>
      </c>
    </row>
    <row r="5" spans="1:27">
      <c r="A5" s="417" t="s">
        <v>264</v>
      </c>
      <c r="B5" s="418"/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 t="s">
        <v>273</v>
      </c>
      <c r="W5" s="425"/>
      <c r="X5" s="422"/>
      <c r="Y5" s="418"/>
      <c r="Z5" s="423"/>
      <c r="AA5" s="424"/>
    </row>
    <row r="6" spans="1:27">
      <c r="A6" s="417" t="s">
        <v>265</v>
      </c>
      <c r="B6" s="418"/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25"/>
      <c r="X6" s="422"/>
      <c r="Y6" s="418"/>
      <c r="Z6" s="423"/>
      <c r="AA6" s="424"/>
    </row>
    <row r="7" spans="1:27">
      <c r="A7" s="417" t="s">
        <v>75</v>
      </c>
      <c r="B7" s="418"/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418"/>
      <c r="W7" s="425"/>
      <c r="X7" s="422"/>
      <c r="Y7" s="418"/>
      <c r="Z7" s="423"/>
      <c r="AA7" s="424"/>
    </row>
    <row r="8" spans="1:27" s="472" customFormat="1" ht="17.25" thickBot="1">
      <c r="A8" s="539" t="s">
        <v>54</v>
      </c>
      <c r="B8" s="540">
        <v>0</v>
      </c>
      <c r="C8" s="540">
        <v>700000</v>
      </c>
      <c r="D8" s="540"/>
      <c r="E8" s="540">
        <v>0</v>
      </c>
      <c r="F8" s="540">
        <f>F4</f>
        <v>600000</v>
      </c>
      <c r="G8" s="540">
        <v>0</v>
      </c>
      <c r="H8" s="540">
        <v>0</v>
      </c>
      <c r="I8" s="540">
        <v>0</v>
      </c>
      <c r="J8" s="540">
        <v>0</v>
      </c>
      <c r="K8" s="540">
        <v>0</v>
      </c>
      <c r="L8" s="540">
        <v>0</v>
      </c>
      <c r="M8" s="540">
        <v>0</v>
      </c>
      <c r="N8" s="540">
        <v>0</v>
      </c>
      <c r="O8" s="540">
        <f>O4</f>
        <v>1000000</v>
      </c>
      <c r="P8" s="540">
        <v>0</v>
      </c>
      <c r="Q8" s="540">
        <v>0</v>
      </c>
      <c r="R8" s="540">
        <v>0</v>
      </c>
      <c r="S8" s="540">
        <v>0</v>
      </c>
      <c r="T8" s="540">
        <v>0</v>
      </c>
      <c r="U8" s="540">
        <v>0</v>
      </c>
      <c r="V8" s="540">
        <v>0</v>
      </c>
      <c r="W8" s="540">
        <v>0</v>
      </c>
      <c r="X8" s="540">
        <v>0</v>
      </c>
      <c r="Y8" s="540">
        <f>SUM(B8:X8)</f>
        <v>2300000</v>
      </c>
      <c r="Z8" s="541">
        <v>0</v>
      </c>
      <c r="AA8" s="542">
        <f>SUM(Y8+Z8)</f>
        <v>2300000</v>
      </c>
    </row>
  </sheetData>
  <mergeCells count="1">
    <mergeCell ref="A2:A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L1</vt:lpstr>
      <vt:lpstr>L2</vt:lpstr>
      <vt:lpstr>L3</vt:lpstr>
      <vt:lpstr>L4</vt:lpstr>
      <vt:lpstr>L5</vt:lpstr>
      <vt:lpstr>L6</vt:lpstr>
      <vt:lpstr>L7</vt:lpstr>
      <vt:lpstr>L10</vt:lpstr>
      <vt:lpstr>L11</vt:lpstr>
      <vt:lpstr>L24</vt:lpstr>
      <vt:lpstr>L25</vt:lpstr>
      <vt:lpstr>L32</vt:lpstr>
      <vt:lpstr>L37FPI</vt:lpstr>
      <vt:lpstr>L37Lives</vt:lpstr>
      <vt:lpstr>L38 FPI</vt:lpstr>
      <vt:lpstr>L38 NOP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Pande Sandeep</dc:creator>
  <cp:lastModifiedBy>Administrator</cp:lastModifiedBy>
  <cp:lastPrinted>2020-10-06T10:59:35Z</cp:lastPrinted>
  <dcterms:created xsi:type="dcterms:W3CDTF">2019-02-21T06:27:16Z</dcterms:created>
  <dcterms:modified xsi:type="dcterms:W3CDTF">2020-10-07T08:24:12Z</dcterms:modified>
</cp:coreProperties>
</file>